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ustomProperty3.bin" ContentType="application/vnd.openxmlformats-officedocument.spreadsheetml.customProperty"/>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Ex4.xml" ContentType="application/vnd.ms-office.chartex+xml"/>
  <Override PartName="/xl/charts/style6.xml" ContentType="application/vnd.ms-office.chartstyle+xml"/>
  <Override PartName="/xl/charts/colors6.xml" ContentType="application/vnd.ms-office.chartcolorstyle+xml"/>
  <Override PartName="/xl/charts/chartEx5.xml" ContentType="application/vnd.ms-office.chartex+xml"/>
  <Override PartName="/xl/charts/style7.xml" ContentType="application/vnd.ms-office.chartstyle+xml"/>
  <Override PartName="/xl/charts/colors7.xml" ContentType="application/vnd.ms-office.chartcolorstyle+xml"/>
  <Override PartName="/xl/charts/chartEx6.xml" ContentType="application/vnd.ms-office.chartex+xml"/>
  <Override PartName="/xl/charts/style8.xml" ContentType="application/vnd.ms-office.chartstyle+xml"/>
  <Override PartName="/xl/charts/colors8.xml" ContentType="application/vnd.ms-office.chartcolorstyle+xml"/>
  <Override PartName="/xl/charts/chart3.xml" ContentType="application/vnd.openxmlformats-officedocument.drawingml.chart+xml"/>
  <Override PartName="/xl/charts/style9.xml" ContentType="application/vnd.ms-office.chartstyle+xml"/>
  <Override PartName="/xl/charts/colors9.xml" ContentType="application/vnd.ms-office.chartcolorstyle+xml"/>
  <Override PartName="/xl/customProperty4.bin" ContentType="application/vnd.openxmlformats-officedocument.spreadsheetml.customProperty"/>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4.xml" ContentType="application/vnd.openxmlformats-officedocument.drawingml.chart+xml"/>
  <Override PartName="/xl/charts/style10.xml" ContentType="application/vnd.ms-office.chartstyle+xml"/>
  <Override PartName="/xl/charts/colors10.xml" ContentType="application/vnd.ms-office.chartcolorstyle+xml"/>
  <Override PartName="/xl/charts/chart5.xml" ContentType="application/vnd.openxmlformats-officedocument.drawingml.chart+xml"/>
  <Override PartName="/xl/charts/style11.xml" ContentType="application/vnd.ms-office.chartstyle+xml"/>
  <Override PartName="/xl/charts/colors11.xml" ContentType="application/vnd.ms-office.chartcolorstyle+xml"/>
  <Override PartName="/xl/charts/chart6.xml" ContentType="application/vnd.openxmlformats-officedocument.drawingml.chart+xml"/>
  <Override PartName="/xl/charts/style12.xml" ContentType="application/vnd.ms-office.chartstyle+xml"/>
  <Override PartName="/xl/charts/colors12.xml" ContentType="application/vnd.ms-office.chartcolorstyle+xml"/>
  <Override PartName="/xl/charts/chartEx7.xml" ContentType="application/vnd.ms-office.chartex+xml"/>
  <Override PartName="/xl/charts/style13.xml" ContentType="application/vnd.ms-office.chartstyle+xml"/>
  <Override PartName="/xl/charts/colors13.xml" ContentType="application/vnd.ms-office.chartcolorstyle+xml"/>
  <Override PartName="/xl/charts/chartEx8.xml" ContentType="application/vnd.ms-office.chartex+xml"/>
  <Override PartName="/xl/charts/style14.xml" ContentType="application/vnd.ms-office.chartstyle+xml"/>
  <Override PartName="/xl/charts/colors14.xml" ContentType="application/vnd.ms-office.chartcolorstyle+xml"/>
  <Override PartName="/xl/charts/chartEx9.xml" ContentType="application/vnd.ms-office.chartex+xml"/>
  <Override PartName="/xl/charts/style15.xml" ContentType="application/vnd.ms-office.chartstyle+xml"/>
  <Override PartName="/xl/charts/colors15.xml" ContentType="application/vnd.ms-office.chartcolorstyle+xml"/>
  <Override PartName="/xl/charts/chartEx10.xml" ContentType="application/vnd.ms-office.chartex+xml"/>
  <Override PartName="/xl/charts/style16.xml" ContentType="application/vnd.ms-office.chartstyle+xml"/>
  <Override PartName="/xl/charts/colors16.xml" ContentType="application/vnd.ms-office.chartcolorstyle+xml"/>
  <Override PartName="/xl/charts/chartEx11.xml" ContentType="application/vnd.ms-office.chartex+xml"/>
  <Override PartName="/xl/charts/style17.xml" ContentType="application/vnd.ms-office.chartstyle+xml"/>
  <Override PartName="/xl/charts/colors17.xml" ContentType="application/vnd.ms-office.chartcolorstyle+xml"/>
  <Override PartName="/xl/charts/chartEx12.xml" ContentType="application/vnd.ms-office.chartex+xml"/>
  <Override PartName="/xl/charts/style18.xml" ContentType="application/vnd.ms-office.chartstyle+xml"/>
  <Override PartName="/xl/charts/colors18.xml" ContentType="application/vnd.ms-office.chartcolorstyle+xml"/>
  <Override PartName="/xl/charts/chart7.xml" ContentType="application/vnd.openxmlformats-officedocument.drawingml.chart+xml"/>
  <Override PartName="/xl/charts/style19.xml" ContentType="application/vnd.ms-office.chartstyle+xml"/>
  <Override PartName="/xl/charts/colors19.xml" ContentType="application/vnd.ms-office.chartcolorstyle+xml"/>
  <Override PartName="/xl/customProperty5.bin" ContentType="application/vnd.openxmlformats-officedocument.spreadsheetml.customProperty"/>
  <Override PartName="/xl/drawings/drawing4.xml" ContentType="application/vnd.openxmlformats-officedocument.drawing+xml"/>
  <Override PartName="/xl/charts/chart8.xml" ContentType="application/vnd.openxmlformats-officedocument.drawingml.chart+xml"/>
  <Override PartName="/xl/charts/style20.xml" ContentType="application/vnd.ms-office.chartstyle+xml"/>
  <Override PartName="/xl/charts/colors20.xml" ContentType="application/vnd.ms-office.chartcolorstyle+xml"/>
  <Override PartName="/xl/charts/chart9.xml" ContentType="application/vnd.openxmlformats-officedocument.drawingml.chart+xml"/>
  <Override PartName="/xl/charts/style21.xml" ContentType="application/vnd.ms-office.chartstyle+xml"/>
  <Override PartName="/xl/charts/colors21.xml" ContentType="application/vnd.ms-office.chartcolorstyle+xml"/>
  <Override PartName="/xl/charts/chart10.xml" ContentType="application/vnd.openxmlformats-officedocument.drawingml.chart+xml"/>
  <Override PartName="/xl/charts/style22.xml" ContentType="application/vnd.ms-office.chartstyle+xml"/>
  <Override PartName="/xl/charts/colors22.xml" ContentType="application/vnd.ms-office.chartcolorstyle+xml"/>
  <Override PartName="/xl/charts/chart11.xml" ContentType="application/vnd.openxmlformats-officedocument.drawingml.chart+xml"/>
  <Override PartName="/xl/charts/style23.xml" ContentType="application/vnd.ms-office.chartstyle+xml"/>
  <Override PartName="/xl/charts/colors23.xml" ContentType="application/vnd.ms-office.chartcolorstyle+xml"/>
  <Override PartName="/xl/charts/chart12.xml" ContentType="application/vnd.openxmlformats-officedocument.drawingml.chart+xml"/>
  <Override PartName="/xl/charts/style24.xml" ContentType="application/vnd.ms-office.chartstyle+xml"/>
  <Override PartName="/xl/charts/colors24.xml" ContentType="application/vnd.ms-office.chartcolorstyle+xml"/>
  <Override PartName="/xl/charts/chart13.xml" ContentType="application/vnd.openxmlformats-officedocument.drawingml.chart+xml"/>
  <Override PartName="/xl/charts/style25.xml" ContentType="application/vnd.ms-office.chartstyle+xml"/>
  <Override PartName="/xl/charts/colors25.xml" ContentType="application/vnd.ms-office.chartcolorstyle+xml"/>
  <Override PartName="/xl/charts/chartEx13.xml" ContentType="application/vnd.ms-office.chartex+xml"/>
  <Override PartName="/xl/charts/style26.xml" ContentType="application/vnd.ms-office.chartstyle+xml"/>
  <Override PartName="/xl/charts/colors26.xml" ContentType="application/vnd.ms-office.chartcolorstyle+xml"/>
  <Override PartName="/xl/charts/chartEx14.xml" ContentType="application/vnd.ms-office.chartex+xml"/>
  <Override PartName="/xl/charts/style27.xml" ContentType="application/vnd.ms-office.chartstyle+xml"/>
  <Override PartName="/xl/charts/colors27.xml" ContentType="application/vnd.ms-office.chartcolorstyle+xml"/>
  <Override PartName="/xl/charts/chartEx15.xml" ContentType="application/vnd.ms-office.chartex+xml"/>
  <Override PartName="/xl/charts/style28.xml" ContentType="application/vnd.ms-office.chartstyle+xml"/>
  <Override PartName="/xl/charts/colors28.xml" ContentType="application/vnd.ms-office.chartcolorstyle+xml"/>
  <Override PartName="/xl/charts/chartEx16.xml" ContentType="application/vnd.ms-office.chartex+xml"/>
  <Override PartName="/xl/charts/style29.xml" ContentType="application/vnd.ms-office.chartstyle+xml"/>
  <Override PartName="/xl/charts/colors29.xml" ContentType="application/vnd.ms-office.chartcolorstyle+xml"/>
  <Override PartName="/xl/charts/chartEx17.xml" ContentType="application/vnd.ms-office.chartex+xml"/>
  <Override PartName="/xl/charts/style30.xml" ContentType="application/vnd.ms-office.chartstyle+xml"/>
  <Override PartName="/xl/charts/colors30.xml" ContentType="application/vnd.ms-office.chartcolorstyle+xml"/>
  <Override PartName="/xl/charts/chartEx18.xml" ContentType="application/vnd.ms-office.chartex+xml"/>
  <Override PartName="/xl/charts/style31.xml" ContentType="application/vnd.ms-office.chartstyle+xml"/>
  <Override PartName="/xl/charts/colors31.xml" ContentType="application/vnd.ms-office.chartcolorstyle+xml"/>
  <Override PartName="/xl/customProperty6.bin" ContentType="application/vnd.openxmlformats-officedocument.spreadsheetml.customProperty"/>
  <Override PartName="/xl/drawings/drawing5.xml" ContentType="application/vnd.openxmlformats-officedocument.drawing+xml"/>
  <Override PartName="/xl/charts/chart14.xml" ContentType="application/vnd.openxmlformats-officedocument.drawingml.chart+xml"/>
  <Override PartName="/xl/charts/style32.xml" ContentType="application/vnd.ms-office.chartstyle+xml"/>
  <Override PartName="/xl/charts/colors32.xml" ContentType="application/vnd.ms-office.chartcolorstyle+xml"/>
  <Override PartName="/xl/charts/chart15.xml" ContentType="application/vnd.openxmlformats-officedocument.drawingml.chart+xml"/>
  <Override PartName="/xl/charts/style33.xml" ContentType="application/vnd.ms-office.chartstyle+xml"/>
  <Override PartName="/xl/charts/colors33.xml" ContentType="application/vnd.ms-office.chartcolorstyle+xml"/>
  <Override PartName="/xl/charts/chart16.xml" ContentType="application/vnd.openxmlformats-officedocument.drawingml.chart+xml"/>
  <Override PartName="/xl/charts/style34.xml" ContentType="application/vnd.ms-office.chartstyle+xml"/>
  <Override PartName="/xl/charts/colors34.xml" ContentType="application/vnd.ms-office.chartcolorstyle+xml"/>
  <Override PartName="/xl/charts/chart17.xml" ContentType="application/vnd.openxmlformats-officedocument.drawingml.chart+xml"/>
  <Override PartName="/xl/charts/style35.xml" ContentType="application/vnd.ms-office.chartstyle+xml"/>
  <Override PartName="/xl/charts/colors35.xml" ContentType="application/vnd.ms-office.chartcolorstyle+xml"/>
  <Override PartName="/xl/charts/chartEx19.xml" ContentType="application/vnd.ms-office.chartex+xml"/>
  <Override PartName="/xl/charts/style36.xml" ContentType="application/vnd.ms-office.chartstyle+xml"/>
  <Override PartName="/xl/charts/colors36.xml" ContentType="application/vnd.ms-office.chartcolorstyle+xml"/>
  <Override PartName="/xl/charts/chartEx20.xml" ContentType="application/vnd.ms-office.chartex+xml"/>
  <Override PartName="/xl/charts/style37.xml" ContentType="application/vnd.ms-office.chartstyle+xml"/>
  <Override PartName="/xl/charts/colors37.xml" ContentType="application/vnd.ms-office.chartcolorstyle+xml"/>
  <Override PartName="/xl/charts/chartEx21.xml" ContentType="application/vnd.ms-office.chartex+xml"/>
  <Override PartName="/xl/charts/style38.xml" ContentType="application/vnd.ms-office.chartstyle+xml"/>
  <Override PartName="/xl/charts/colors38.xml" ContentType="application/vnd.ms-office.chartcolorstyle+xml"/>
  <Override PartName="/xl/charts/chartEx22.xml" ContentType="application/vnd.ms-office.chartex+xml"/>
  <Override PartName="/xl/charts/style39.xml" ContentType="application/vnd.ms-office.chartstyle+xml"/>
  <Override PartName="/xl/charts/colors39.xml" ContentType="application/vnd.ms-office.chartcolorstyle+xml"/>
  <Override PartName="/xl/charts/chartEx23.xml" ContentType="application/vnd.ms-office.chartex+xml"/>
  <Override PartName="/xl/charts/style40.xml" ContentType="application/vnd.ms-office.chartstyle+xml"/>
  <Override PartName="/xl/charts/colors40.xml" ContentType="application/vnd.ms-office.chartcolorstyle+xml"/>
  <Override PartName="/xl/charts/chartEx24.xml" ContentType="application/vnd.ms-office.chartex+xml"/>
  <Override PartName="/xl/charts/style41.xml" ContentType="application/vnd.ms-office.chartstyle+xml"/>
  <Override PartName="/xl/charts/colors41.xml" ContentType="application/vnd.ms-office.chartcolorstyle+xml"/>
  <Override PartName="/xl/customProperty7.bin" ContentType="application/vnd.openxmlformats-officedocument.spreadsheetml.customProperty"/>
  <Override PartName="/xl/drawings/drawing6.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8.xml" ContentType="application/vnd.openxmlformats-officedocument.drawingml.chart+xml"/>
  <Override PartName="/xl/charts/style42.xml" ContentType="application/vnd.ms-office.chartstyle+xml"/>
  <Override PartName="/xl/charts/colors42.xml" ContentType="application/vnd.ms-office.chartcolorstyle+xml"/>
  <Override PartName="/xl/charts/chart19.xml" ContentType="application/vnd.openxmlformats-officedocument.drawingml.chart+xml"/>
  <Override PartName="/xl/charts/style43.xml" ContentType="application/vnd.ms-office.chartstyle+xml"/>
  <Override PartName="/xl/charts/colors43.xml" ContentType="application/vnd.ms-office.chartcolorstyle+xml"/>
  <Override PartName="/xl/charts/chart20.xml" ContentType="application/vnd.openxmlformats-officedocument.drawingml.chart+xml"/>
  <Override PartName="/xl/charts/style44.xml" ContentType="application/vnd.ms-office.chartstyle+xml"/>
  <Override PartName="/xl/charts/colors44.xml" ContentType="application/vnd.ms-office.chartcolorstyle+xml"/>
  <Override PartName="/xl/charts/chart21.xml" ContentType="application/vnd.openxmlformats-officedocument.drawingml.chart+xml"/>
  <Override PartName="/xl/charts/style45.xml" ContentType="application/vnd.ms-office.chartstyle+xml"/>
  <Override PartName="/xl/charts/colors45.xml" ContentType="application/vnd.ms-office.chartcolorstyle+xml"/>
  <Override PartName="/xl/charts/chartEx25.xml" ContentType="application/vnd.ms-office.chartex+xml"/>
  <Override PartName="/xl/charts/style46.xml" ContentType="application/vnd.ms-office.chartstyle+xml"/>
  <Override PartName="/xl/charts/colors46.xml" ContentType="application/vnd.ms-office.chartcolorstyle+xml"/>
  <Override PartName="/xl/charts/chartEx26.xml" ContentType="application/vnd.ms-office.chartex+xml"/>
  <Override PartName="/xl/charts/style47.xml" ContentType="application/vnd.ms-office.chartstyle+xml"/>
  <Override PartName="/xl/charts/colors47.xml" ContentType="application/vnd.ms-office.chartcolorstyle+xml"/>
  <Override PartName="/xl/charts/chartEx27.xml" ContentType="application/vnd.ms-office.chartex+xml"/>
  <Override PartName="/xl/charts/style48.xml" ContentType="application/vnd.ms-office.chartstyle+xml"/>
  <Override PartName="/xl/charts/colors48.xml" ContentType="application/vnd.ms-office.chartcolorstyle+xml"/>
  <Override PartName="/xl/charts/chartEx28.xml" ContentType="application/vnd.ms-office.chartex+xml"/>
  <Override PartName="/xl/charts/style49.xml" ContentType="application/vnd.ms-office.chartstyle+xml"/>
  <Override PartName="/xl/charts/colors49.xml" ContentType="application/vnd.ms-office.chartcolorstyle+xml"/>
  <Override PartName="/xl/charts/chartEx29.xml" ContentType="application/vnd.ms-office.chartex+xml"/>
  <Override PartName="/xl/charts/style50.xml" ContentType="application/vnd.ms-office.chartstyle+xml"/>
  <Override PartName="/xl/charts/colors50.xml" ContentType="application/vnd.ms-office.chartcolorstyle+xml"/>
  <Override PartName="/xl/charts/chartEx30.xml" ContentType="application/vnd.ms-office.chartex+xml"/>
  <Override PartName="/xl/charts/style51.xml" ContentType="application/vnd.ms-office.chartstyle+xml"/>
  <Override PartName="/xl/charts/colors51.xml" ContentType="application/vnd.ms-office.chartcolorstyle+xml"/>
  <Override PartName="/xl/drawings/drawing7.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22.xml" ContentType="application/vnd.openxmlformats-officedocument.drawingml.chart+xml"/>
  <Override PartName="/xl/charts/style52.xml" ContentType="application/vnd.ms-office.chartstyle+xml"/>
  <Override PartName="/xl/charts/colors52.xml" ContentType="application/vnd.ms-office.chartcolorstyle+xml"/>
  <Override PartName="/xl/charts/chart23.xml" ContentType="application/vnd.openxmlformats-officedocument.drawingml.chart+xml"/>
  <Override PartName="/xl/charts/style53.xml" ContentType="application/vnd.ms-office.chartstyle+xml"/>
  <Override PartName="/xl/charts/colors53.xml" ContentType="application/vnd.ms-office.chartcolorstyle+xml"/>
  <Override PartName="/xl/charts/chart24.xml" ContentType="application/vnd.openxmlformats-officedocument.drawingml.chart+xml"/>
  <Override PartName="/xl/charts/style54.xml" ContentType="application/vnd.ms-office.chartstyle+xml"/>
  <Override PartName="/xl/charts/colors54.xml" ContentType="application/vnd.ms-office.chartcolorstyle+xml"/>
  <Override PartName="/xl/charts/chartEx31.xml" ContentType="application/vnd.ms-office.chartex+xml"/>
  <Override PartName="/xl/charts/style55.xml" ContentType="application/vnd.ms-office.chartstyle+xml"/>
  <Override PartName="/xl/charts/colors55.xml" ContentType="application/vnd.ms-office.chartcolorstyle+xml"/>
  <Override PartName="/xl/charts/chartEx32.xml" ContentType="application/vnd.ms-office.chartex+xml"/>
  <Override PartName="/xl/charts/style56.xml" ContentType="application/vnd.ms-office.chartstyle+xml"/>
  <Override PartName="/xl/charts/colors56.xml" ContentType="application/vnd.ms-office.chartcolorstyle+xml"/>
  <Override PartName="/xl/charts/chartEx33.xml" ContentType="application/vnd.ms-office.chartex+xml"/>
  <Override PartName="/xl/charts/style57.xml" ContentType="application/vnd.ms-office.chartstyle+xml"/>
  <Override PartName="/xl/charts/colors57.xml" ContentType="application/vnd.ms-office.chartcolorstyle+xml"/>
  <Override PartName="/xl/charts/chartEx34.xml" ContentType="application/vnd.ms-office.chartex+xml"/>
  <Override PartName="/xl/charts/style58.xml" ContentType="application/vnd.ms-office.chartstyle+xml"/>
  <Override PartName="/xl/charts/colors58.xml" ContentType="application/vnd.ms-office.chartcolorstyle+xml"/>
  <Override PartName="/xl/customProperty8.bin" ContentType="application/vnd.openxmlformats-officedocument.spreadsheetml.customProperty"/>
  <Override PartName="/xl/drawings/drawing8.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25.xml" ContentType="application/vnd.openxmlformats-officedocument.drawingml.chart+xml"/>
  <Override PartName="/xl/charts/style59.xml" ContentType="application/vnd.ms-office.chartstyle+xml"/>
  <Override PartName="/xl/charts/colors59.xml" ContentType="application/vnd.ms-office.chartcolorstyle+xml"/>
  <Override PartName="/xl/charts/chart26.xml" ContentType="application/vnd.openxmlformats-officedocument.drawingml.chart+xml"/>
  <Override PartName="/xl/charts/style60.xml" ContentType="application/vnd.ms-office.chartstyle+xml"/>
  <Override PartName="/xl/charts/colors60.xml" ContentType="application/vnd.ms-office.chartcolorstyle+xml"/>
  <Override PartName="/xl/charts/chart27.xml" ContentType="application/vnd.openxmlformats-officedocument.drawingml.chart+xml"/>
  <Override PartName="/xl/charts/style61.xml" ContentType="application/vnd.ms-office.chartstyle+xml"/>
  <Override PartName="/xl/charts/colors61.xml" ContentType="application/vnd.ms-office.chartcolorstyle+xml"/>
  <Override PartName="/xl/charts/chartEx35.xml" ContentType="application/vnd.ms-office.chartex+xml"/>
  <Override PartName="/xl/charts/style62.xml" ContentType="application/vnd.ms-office.chartstyle+xml"/>
  <Override PartName="/xl/charts/colors62.xml" ContentType="application/vnd.ms-office.chartcolorstyle+xml"/>
  <Override PartName="/xl/charts/chartEx36.xml" ContentType="application/vnd.ms-office.chartex+xml"/>
  <Override PartName="/xl/charts/style63.xml" ContentType="application/vnd.ms-office.chartstyle+xml"/>
  <Override PartName="/xl/charts/colors63.xml" ContentType="application/vnd.ms-office.chartcolorstyle+xml"/>
  <Override PartName="/xl/charts/chartEx37.xml" ContentType="application/vnd.ms-office.chartex+xml"/>
  <Override PartName="/xl/charts/style64.xml" ContentType="application/vnd.ms-office.chartstyle+xml"/>
  <Override PartName="/xl/charts/colors64.xml" ContentType="application/vnd.ms-office.chartcolorstyle+xml"/>
  <Override PartName="/xl/charts/chartEx38.xml" ContentType="application/vnd.ms-office.chartex+xml"/>
  <Override PartName="/xl/charts/style65.xml" ContentType="application/vnd.ms-office.chartstyle+xml"/>
  <Override PartName="/xl/charts/colors65.xml" ContentType="application/vnd.ms-office.chartcolorstyle+xml"/>
  <Override PartName="/xl/customProperty9.bin" ContentType="application/vnd.openxmlformats-officedocument.spreadsheetml.customProperty"/>
  <Override PartName="/xl/drawings/drawing9.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charts/chart28.xml" ContentType="application/vnd.openxmlformats-officedocument.drawingml.chart+xml"/>
  <Override PartName="/xl/charts/style66.xml" ContentType="application/vnd.ms-office.chartstyle+xml"/>
  <Override PartName="/xl/charts/colors66.xml" ContentType="application/vnd.ms-office.chartcolorstyle+xml"/>
  <Override PartName="/xl/charts/chart29.xml" ContentType="application/vnd.openxmlformats-officedocument.drawingml.chart+xml"/>
  <Override PartName="/xl/charts/style67.xml" ContentType="application/vnd.ms-office.chartstyle+xml"/>
  <Override PartName="/xl/charts/colors67.xml" ContentType="application/vnd.ms-office.chartcolorstyle+xml"/>
  <Override PartName="/xl/charts/chart30.xml" ContentType="application/vnd.openxmlformats-officedocument.drawingml.chart+xml"/>
  <Override PartName="/xl/charts/style68.xml" ContentType="application/vnd.ms-office.chartstyle+xml"/>
  <Override PartName="/xl/charts/colors68.xml" ContentType="application/vnd.ms-office.chartcolorstyle+xml"/>
  <Override PartName="/xl/charts/chart31.xml" ContentType="application/vnd.openxmlformats-officedocument.drawingml.chart+xml"/>
  <Override PartName="/xl/charts/style69.xml" ContentType="application/vnd.ms-office.chartstyle+xml"/>
  <Override PartName="/xl/charts/colors69.xml" ContentType="application/vnd.ms-office.chartcolorstyle+xml"/>
  <Override PartName="/xl/charts/chart32.xml" ContentType="application/vnd.openxmlformats-officedocument.drawingml.chart+xml"/>
  <Override PartName="/xl/charts/style70.xml" ContentType="application/vnd.ms-office.chartstyle+xml"/>
  <Override PartName="/xl/charts/colors70.xml" ContentType="application/vnd.ms-office.chartcolorstyle+xml"/>
  <Override PartName="/xl/charts/chart33.xml" ContentType="application/vnd.openxmlformats-officedocument.drawingml.chart+xml"/>
  <Override PartName="/xl/charts/style71.xml" ContentType="application/vnd.ms-office.chartstyle+xml"/>
  <Override PartName="/xl/charts/colors71.xml" ContentType="application/vnd.ms-office.chartcolorstyle+xml"/>
  <Override PartName="/xl/charts/chartEx39.xml" ContentType="application/vnd.ms-office.chartex+xml"/>
  <Override PartName="/xl/charts/style72.xml" ContentType="application/vnd.ms-office.chartstyle+xml"/>
  <Override PartName="/xl/charts/colors72.xml" ContentType="application/vnd.ms-office.chartcolorstyle+xml"/>
  <Override PartName="/xl/charts/chartEx40.xml" ContentType="application/vnd.ms-office.chartex+xml"/>
  <Override PartName="/xl/charts/style73.xml" ContentType="application/vnd.ms-office.chartstyle+xml"/>
  <Override PartName="/xl/charts/colors73.xml" ContentType="application/vnd.ms-office.chartcolorstyle+xml"/>
  <Override PartName="/xl/charts/chartEx41.xml" ContentType="application/vnd.ms-office.chartex+xml"/>
  <Override PartName="/xl/charts/style74.xml" ContentType="application/vnd.ms-office.chartstyle+xml"/>
  <Override PartName="/xl/charts/colors74.xml" ContentType="application/vnd.ms-office.chartcolorstyle+xml"/>
  <Override PartName="/xl/charts/chartEx42.xml" ContentType="application/vnd.ms-office.chartex+xml"/>
  <Override PartName="/xl/charts/style75.xml" ContentType="application/vnd.ms-office.chartstyle+xml"/>
  <Override PartName="/xl/charts/colors75.xml" ContentType="application/vnd.ms-office.chartcolorstyle+xml"/>
  <Override PartName="/xl/charts/chartEx43.xml" ContentType="application/vnd.ms-office.chartex+xml"/>
  <Override PartName="/xl/charts/style76.xml" ContentType="application/vnd.ms-office.chartstyle+xml"/>
  <Override PartName="/xl/charts/colors76.xml" ContentType="application/vnd.ms-office.chartcolorstyle+xml"/>
  <Override PartName="/xl/charts/chartEx44.xml" ContentType="application/vnd.ms-office.chartex+xml"/>
  <Override PartName="/xl/charts/style77.xml" ContentType="application/vnd.ms-office.chartstyle+xml"/>
  <Override PartName="/xl/charts/colors77.xml" ContentType="application/vnd.ms-office.chartcolorstyle+xml"/>
  <Override PartName="/xl/charts/chart34.xml" ContentType="application/vnd.openxmlformats-officedocument.drawingml.chart+xml"/>
  <Override PartName="/xl/charts/style78.xml" ContentType="application/vnd.ms-office.chartstyle+xml"/>
  <Override PartName="/xl/charts/colors78.xml" ContentType="application/vnd.ms-office.chartcolorstyle+xml"/>
  <Override PartName="/xl/charts/chartEx45.xml" ContentType="application/vnd.ms-office.chartex+xml"/>
  <Override PartName="/xl/charts/style79.xml" ContentType="application/vnd.ms-office.chartstyle+xml"/>
  <Override PartName="/xl/charts/colors79.xml" ContentType="application/vnd.ms-office.chartcolorstyle+xml"/>
  <Override PartName="/xl/customProperty10.bin" ContentType="application/vnd.openxmlformats-officedocument.spreadsheetml.customProperty"/>
  <Override PartName="/xl/drawings/drawing10.xml" ContentType="application/vnd.openxmlformats-officedocument.drawing+xml"/>
  <Override PartName="/xl/comments6.xml" ContentType="application/vnd.openxmlformats-officedocument.spreadsheetml.comments+xml"/>
  <Override PartName="/xl/charts/chart35.xml" ContentType="application/vnd.openxmlformats-officedocument.drawingml.chart+xml"/>
  <Override PartName="/xl/charts/style80.xml" ContentType="application/vnd.ms-office.chartstyle+xml"/>
  <Override PartName="/xl/charts/colors80.xml" ContentType="application/vnd.ms-office.chartcolorstyle+xml"/>
  <Override PartName="/xl/charts/chart36.xml" ContentType="application/vnd.openxmlformats-officedocument.drawingml.chart+xml"/>
  <Override PartName="/xl/charts/style81.xml" ContentType="application/vnd.ms-office.chartstyle+xml"/>
  <Override PartName="/xl/charts/colors81.xml" ContentType="application/vnd.ms-office.chartcolorstyle+xml"/>
  <Override PartName="/xl/charts/chart37.xml" ContentType="application/vnd.openxmlformats-officedocument.drawingml.chart+xml"/>
  <Override PartName="/xl/charts/style82.xml" ContentType="application/vnd.ms-office.chartstyle+xml"/>
  <Override PartName="/xl/charts/colors82.xml" ContentType="application/vnd.ms-office.chartcolorstyle+xml"/>
  <Override PartName="/xl/charts/chart38.xml" ContentType="application/vnd.openxmlformats-officedocument.drawingml.chart+xml"/>
  <Override PartName="/xl/charts/style83.xml" ContentType="application/vnd.ms-office.chartstyle+xml"/>
  <Override PartName="/xl/charts/colors83.xml" ContentType="application/vnd.ms-office.chartcolorstyle+xml"/>
  <Override PartName="/xl/charts/chart39.xml" ContentType="application/vnd.openxmlformats-officedocument.drawingml.chart+xml"/>
  <Override PartName="/xl/charts/style84.xml" ContentType="application/vnd.ms-office.chartstyle+xml"/>
  <Override PartName="/xl/charts/colors84.xml" ContentType="application/vnd.ms-office.chartcolorstyle+xml"/>
  <Override PartName="/xl/charts/chartEx46.xml" ContentType="application/vnd.ms-office.chartex+xml"/>
  <Override PartName="/xl/charts/style85.xml" ContentType="application/vnd.ms-office.chartstyle+xml"/>
  <Override PartName="/xl/charts/colors85.xml" ContentType="application/vnd.ms-office.chartcolorstyle+xml"/>
  <Override PartName="/xl/charts/chartEx47.xml" ContentType="application/vnd.ms-office.chartex+xml"/>
  <Override PartName="/xl/charts/style86.xml" ContentType="application/vnd.ms-office.chartstyle+xml"/>
  <Override PartName="/xl/charts/colors86.xml" ContentType="application/vnd.ms-office.chartcolorstyle+xml"/>
  <Override PartName="/xl/charts/chartEx48.xml" ContentType="application/vnd.ms-office.chartex+xml"/>
  <Override PartName="/xl/charts/style87.xml" ContentType="application/vnd.ms-office.chartstyle+xml"/>
  <Override PartName="/xl/charts/colors87.xml" ContentType="application/vnd.ms-office.chartcolorstyle+xml"/>
  <Override PartName="/xl/charts/chartEx49.xml" ContentType="application/vnd.ms-office.chartex+xml"/>
  <Override PartName="/xl/charts/style88.xml" ContentType="application/vnd.ms-office.chartstyle+xml"/>
  <Override PartName="/xl/charts/colors88.xml" ContentType="application/vnd.ms-office.chartcolorstyle+xml"/>
  <Override PartName="/xl/charts/chartEx50.xml" ContentType="application/vnd.ms-office.chartex+xml"/>
  <Override PartName="/xl/charts/style89.xml" ContentType="application/vnd.ms-office.chartstyle+xml"/>
  <Override PartName="/xl/charts/colors89.xml" ContentType="application/vnd.ms-office.chartcolorstyle+xml"/>
  <Override PartName="/xl/charts/chartEx51.xml" ContentType="application/vnd.ms-office.chartex+xml"/>
  <Override PartName="/xl/charts/style90.xml" ContentType="application/vnd.ms-office.chartstyle+xml"/>
  <Override PartName="/xl/charts/colors90.xml" ContentType="application/vnd.ms-office.chartcolorstyle+xml"/>
  <Override PartName="/xl/customProperty11.bin" ContentType="application/vnd.openxmlformats-officedocument.spreadsheetml.customProperty"/>
  <Override PartName="/xl/drawings/drawing11.xml" ContentType="application/vnd.openxmlformats-officedocument.drawing+xml"/>
  <Override PartName="/xl/comments7.xml" ContentType="application/vnd.openxmlformats-officedocument.spreadsheetml.comments+xml"/>
  <Override PartName="/xl/charts/chart40.xml" ContentType="application/vnd.openxmlformats-officedocument.drawingml.chart+xml"/>
  <Override PartName="/xl/charts/style91.xml" ContentType="application/vnd.ms-office.chartstyle+xml"/>
  <Override PartName="/xl/charts/colors91.xml" ContentType="application/vnd.ms-office.chartcolorstyle+xml"/>
  <Override PartName="/xl/charts/chart41.xml" ContentType="application/vnd.openxmlformats-officedocument.drawingml.chart+xml"/>
  <Override PartName="/xl/charts/style92.xml" ContentType="application/vnd.ms-office.chartstyle+xml"/>
  <Override PartName="/xl/charts/colors92.xml" ContentType="application/vnd.ms-office.chartcolorstyle+xml"/>
  <Override PartName="/xl/charts/chart42.xml" ContentType="application/vnd.openxmlformats-officedocument.drawingml.chart+xml"/>
  <Override PartName="/xl/charts/style93.xml" ContentType="application/vnd.ms-office.chartstyle+xml"/>
  <Override PartName="/xl/charts/colors93.xml" ContentType="application/vnd.ms-office.chartcolorstyle+xml"/>
  <Override PartName="/xl/charts/chart43.xml" ContentType="application/vnd.openxmlformats-officedocument.drawingml.chart+xml"/>
  <Override PartName="/xl/charts/style94.xml" ContentType="application/vnd.ms-office.chartstyle+xml"/>
  <Override PartName="/xl/charts/colors94.xml" ContentType="application/vnd.ms-office.chartcolorstyle+xml"/>
  <Override PartName="/xl/charts/chart44.xml" ContentType="application/vnd.openxmlformats-officedocument.drawingml.chart+xml"/>
  <Override PartName="/xl/charts/style95.xml" ContentType="application/vnd.ms-office.chartstyle+xml"/>
  <Override PartName="/xl/charts/colors95.xml" ContentType="application/vnd.ms-office.chartcolorstyle+xml"/>
  <Override PartName="/xl/charts/chartEx52.xml" ContentType="application/vnd.ms-office.chartex+xml"/>
  <Override PartName="/xl/charts/style96.xml" ContentType="application/vnd.ms-office.chartstyle+xml"/>
  <Override PartName="/xl/charts/colors96.xml" ContentType="application/vnd.ms-office.chartcolorstyle+xml"/>
  <Override PartName="/xl/charts/chartEx53.xml" ContentType="application/vnd.ms-office.chartex+xml"/>
  <Override PartName="/xl/charts/style97.xml" ContentType="application/vnd.ms-office.chartstyle+xml"/>
  <Override PartName="/xl/charts/colors97.xml" ContentType="application/vnd.ms-office.chartcolorstyle+xml"/>
  <Override PartName="/xl/charts/chartEx54.xml" ContentType="application/vnd.ms-office.chartex+xml"/>
  <Override PartName="/xl/charts/style98.xml" ContentType="application/vnd.ms-office.chartstyle+xml"/>
  <Override PartName="/xl/charts/colors98.xml" ContentType="application/vnd.ms-office.chartcolorstyle+xml"/>
  <Override PartName="/xl/charts/chartEx55.xml" ContentType="application/vnd.ms-office.chartex+xml"/>
  <Override PartName="/xl/charts/style99.xml" ContentType="application/vnd.ms-office.chartstyle+xml"/>
  <Override PartName="/xl/charts/colors99.xml" ContentType="application/vnd.ms-office.chartcolorstyle+xml"/>
  <Override PartName="/xl/charts/chartEx56.xml" ContentType="application/vnd.ms-office.chartex+xml"/>
  <Override PartName="/xl/charts/style100.xml" ContentType="application/vnd.ms-office.chartstyle+xml"/>
  <Override PartName="/xl/charts/colors100.xml" ContentType="application/vnd.ms-office.chartcolorstyle+xml"/>
  <Override PartName="/xl/charts/chartEx57.xml" ContentType="application/vnd.ms-office.chartex+xml"/>
  <Override PartName="/xl/charts/style101.xml" ContentType="application/vnd.ms-office.chartstyle+xml"/>
  <Override PartName="/xl/charts/colors101.xml" ContentType="application/vnd.ms-office.chartcolorstyle+xml"/>
  <Override PartName="/xl/charts/chart45.xml" ContentType="application/vnd.openxmlformats-officedocument.drawingml.chart+xml"/>
  <Override PartName="/xl/charts/style102.xml" ContentType="application/vnd.ms-office.chartstyle+xml"/>
  <Override PartName="/xl/charts/colors102.xml" ContentType="application/vnd.ms-office.chartcolorstyle+xml"/>
  <Override PartName="/xl/customProperty12.bin" ContentType="application/vnd.openxmlformats-officedocument.spreadsheetml.customProperty"/>
  <Override PartName="/xl/drawings/drawing12.xml" ContentType="application/vnd.openxmlformats-officedocument.drawing+xml"/>
  <Override PartName="/xl/comments8.xml" ContentType="application/vnd.openxmlformats-officedocument.spreadsheetml.comments+xml"/>
  <Override PartName="/xl/threadedComments/threadedComment6.xml" ContentType="application/vnd.ms-excel.threadedcomments+xml"/>
  <Override PartName="/xl/charts/chart46.xml" ContentType="application/vnd.openxmlformats-officedocument.drawingml.chart+xml"/>
  <Override PartName="/xl/charts/style103.xml" ContentType="application/vnd.ms-office.chartstyle+xml"/>
  <Override PartName="/xl/charts/colors103.xml" ContentType="application/vnd.ms-office.chartcolorstyle+xml"/>
  <Override PartName="/xl/charts/chart47.xml" ContentType="application/vnd.openxmlformats-officedocument.drawingml.chart+xml"/>
  <Override PartName="/xl/charts/style104.xml" ContentType="application/vnd.ms-office.chartstyle+xml"/>
  <Override PartName="/xl/charts/colors104.xml" ContentType="application/vnd.ms-office.chartcolorstyle+xml"/>
  <Override PartName="/xl/charts/chart48.xml" ContentType="application/vnd.openxmlformats-officedocument.drawingml.chart+xml"/>
  <Override PartName="/xl/charts/style105.xml" ContentType="application/vnd.ms-office.chartstyle+xml"/>
  <Override PartName="/xl/charts/colors105.xml" ContentType="application/vnd.ms-office.chartcolorstyle+xml"/>
  <Override PartName="/xl/charts/chart49.xml" ContentType="application/vnd.openxmlformats-officedocument.drawingml.chart+xml"/>
  <Override PartName="/xl/charts/style106.xml" ContentType="application/vnd.ms-office.chartstyle+xml"/>
  <Override PartName="/xl/charts/colors106.xml" ContentType="application/vnd.ms-office.chartcolorstyle+xml"/>
  <Override PartName="/xl/charts/chart50.xml" ContentType="application/vnd.openxmlformats-officedocument.drawingml.chart+xml"/>
  <Override PartName="/xl/charts/style107.xml" ContentType="application/vnd.ms-office.chartstyle+xml"/>
  <Override PartName="/xl/charts/colors107.xml" ContentType="application/vnd.ms-office.chartcolorstyle+xml"/>
  <Override PartName="/xl/charts/chart51.xml" ContentType="application/vnd.openxmlformats-officedocument.drawingml.chart+xml"/>
  <Override PartName="/xl/charts/style108.xml" ContentType="application/vnd.ms-office.chartstyle+xml"/>
  <Override PartName="/xl/charts/colors108.xml" ContentType="application/vnd.ms-office.chartcolorstyle+xml"/>
  <Override PartName="/xl/charts/chartEx58.xml" ContentType="application/vnd.ms-office.chartex+xml"/>
  <Override PartName="/xl/charts/style109.xml" ContentType="application/vnd.ms-office.chartstyle+xml"/>
  <Override PartName="/xl/charts/colors109.xml" ContentType="application/vnd.ms-office.chartcolorstyle+xml"/>
  <Override PartName="/xl/charts/chartEx59.xml" ContentType="application/vnd.ms-office.chartex+xml"/>
  <Override PartName="/xl/charts/style110.xml" ContentType="application/vnd.ms-office.chartstyle+xml"/>
  <Override PartName="/xl/charts/colors110.xml" ContentType="application/vnd.ms-office.chartcolorstyle+xml"/>
  <Override PartName="/xl/charts/chartEx60.xml" ContentType="application/vnd.ms-office.chartex+xml"/>
  <Override PartName="/xl/charts/style111.xml" ContentType="application/vnd.ms-office.chartstyle+xml"/>
  <Override PartName="/xl/charts/colors111.xml" ContentType="application/vnd.ms-office.chartcolorstyle+xml"/>
  <Override PartName="/xl/charts/chartEx61.xml" ContentType="application/vnd.ms-office.chartex+xml"/>
  <Override PartName="/xl/charts/style112.xml" ContentType="application/vnd.ms-office.chartstyle+xml"/>
  <Override PartName="/xl/charts/colors112.xml" ContentType="application/vnd.ms-office.chartcolorstyle+xml"/>
  <Override PartName="/xl/charts/chartEx62.xml" ContentType="application/vnd.ms-office.chartex+xml"/>
  <Override PartName="/xl/charts/style113.xml" ContentType="application/vnd.ms-office.chartstyle+xml"/>
  <Override PartName="/xl/charts/colors113.xml" ContentType="application/vnd.ms-office.chartcolorstyle+xml"/>
  <Override PartName="/xl/charts/chartEx63.xml" ContentType="application/vnd.ms-office.chartex+xml"/>
  <Override PartName="/xl/charts/style114.xml" ContentType="application/vnd.ms-office.chartstyle+xml"/>
  <Override PartName="/xl/charts/colors114.xml" ContentType="application/vnd.ms-office.chartcolorstyle+xml"/>
  <Override PartName="/xl/customProperty13.bin" ContentType="application/vnd.openxmlformats-officedocument.spreadsheetml.customProperty"/>
  <Override PartName="/xl/drawings/drawing13.xml" ContentType="application/vnd.openxmlformats-officedocument.drawing+xml"/>
  <Override PartName="/xl/charts/chart52.xml" ContentType="application/vnd.openxmlformats-officedocument.drawingml.chart+xml"/>
  <Override PartName="/xl/charts/style115.xml" ContentType="application/vnd.ms-office.chartstyle+xml"/>
  <Override PartName="/xl/charts/colors115.xml" ContentType="application/vnd.ms-office.chartcolorstyle+xml"/>
  <Override PartName="/xl/charts/chart53.xml" ContentType="application/vnd.openxmlformats-officedocument.drawingml.chart+xml"/>
  <Override PartName="/xl/charts/style116.xml" ContentType="application/vnd.ms-office.chartstyle+xml"/>
  <Override PartName="/xl/charts/colors116.xml" ContentType="application/vnd.ms-office.chartcolorstyle+xml"/>
  <Override PartName="/xl/charts/chart54.xml" ContentType="application/vnd.openxmlformats-officedocument.drawingml.chart+xml"/>
  <Override PartName="/xl/charts/style117.xml" ContentType="application/vnd.ms-office.chartstyle+xml"/>
  <Override PartName="/xl/charts/colors117.xml" ContentType="application/vnd.ms-office.chartcolorstyle+xml"/>
  <Override PartName="/xl/charts/chart55.xml" ContentType="application/vnd.openxmlformats-officedocument.drawingml.chart+xml"/>
  <Override PartName="/xl/charts/style118.xml" ContentType="application/vnd.ms-office.chartstyle+xml"/>
  <Override PartName="/xl/charts/colors118.xml" ContentType="application/vnd.ms-office.chartcolorstyle+xml"/>
  <Override PartName="/xl/charts/chart56.xml" ContentType="application/vnd.openxmlformats-officedocument.drawingml.chart+xml"/>
  <Override PartName="/xl/charts/style119.xml" ContentType="application/vnd.ms-office.chartstyle+xml"/>
  <Override PartName="/xl/charts/colors119.xml" ContentType="application/vnd.ms-office.chartcolorstyle+xml"/>
  <Override PartName="/xl/charts/chart57.xml" ContentType="application/vnd.openxmlformats-officedocument.drawingml.chart+xml"/>
  <Override PartName="/xl/charts/style120.xml" ContentType="application/vnd.ms-office.chartstyle+xml"/>
  <Override PartName="/xl/charts/colors120.xml" ContentType="application/vnd.ms-office.chartcolorstyle+xml"/>
  <Override PartName="/xl/charts/chartEx64.xml" ContentType="application/vnd.ms-office.chartex+xml"/>
  <Override PartName="/xl/charts/style121.xml" ContentType="application/vnd.ms-office.chartstyle+xml"/>
  <Override PartName="/xl/charts/colors121.xml" ContentType="application/vnd.ms-office.chartcolorstyle+xml"/>
  <Override PartName="/xl/charts/chartEx65.xml" ContentType="application/vnd.ms-office.chartex+xml"/>
  <Override PartName="/xl/charts/style122.xml" ContentType="application/vnd.ms-office.chartstyle+xml"/>
  <Override PartName="/xl/charts/colors122.xml" ContentType="application/vnd.ms-office.chartcolorstyle+xml"/>
  <Override PartName="/xl/charts/chartEx66.xml" ContentType="application/vnd.ms-office.chartex+xml"/>
  <Override PartName="/xl/charts/style123.xml" ContentType="application/vnd.ms-office.chartstyle+xml"/>
  <Override PartName="/xl/charts/colors123.xml" ContentType="application/vnd.ms-office.chartcolorstyle+xml"/>
  <Override PartName="/xl/charts/chartEx67.xml" ContentType="application/vnd.ms-office.chartex+xml"/>
  <Override PartName="/xl/charts/style124.xml" ContentType="application/vnd.ms-office.chartstyle+xml"/>
  <Override PartName="/xl/charts/colors124.xml" ContentType="application/vnd.ms-office.chartcolorstyle+xml"/>
  <Override PartName="/xl/charts/chartEx68.xml" ContentType="application/vnd.ms-office.chartex+xml"/>
  <Override PartName="/xl/charts/style125.xml" ContentType="application/vnd.ms-office.chartstyle+xml"/>
  <Override PartName="/xl/charts/colors125.xml" ContentType="application/vnd.ms-office.chartcolorstyle+xml"/>
  <Override PartName="/xl/charts/chartEx69.xml" ContentType="application/vnd.ms-office.chartex+xml"/>
  <Override PartName="/xl/charts/style126.xml" ContentType="application/vnd.ms-office.chartstyle+xml"/>
  <Override PartName="/xl/charts/colors126.xml" ContentType="application/vnd.ms-office.chartcolorstyle+xml"/>
  <Override PartName="/xl/customProperty14.bin" ContentType="application/vnd.openxmlformats-officedocument.spreadsheetml.customProperty"/>
  <Override PartName="/xl/drawings/drawing14.xml" ContentType="application/vnd.openxmlformats-officedocument.drawing+xml"/>
  <Override PartName="/xl/charts/chart58.xml" ContentType="application/vnd.openxmlformats-officedocument.drawingml.chart+xml"/>
  <Override PartName="/xl/charts/style127.xml" ContentType="application/vnd.ms-office.chartstyle+xml"/>
  <Override PartName="/xl/charts/colors127.xml" ContentType="application/vnd.ms-office.chartcolorstyle+xml"/>
  <Override PartName="/xl/charts/chart59.xml" ContentType="application/vnd.openxmlformats-officedocument.drawingml.chart+xml"/>
  <Override PartName="/xl/charts/style128.xml" ContentType="application/vnd.ms-office.chartstyle+xml"/>
  <Override PartName="/xl/charts/colors128.xml" ContentType="application/vnd.ms-office.chartcolorstyle+xml"/>
  <Override PartName="/xl/charts/chart60.xml" ContentType="application/vnd.openxmlformats-officedocument.drawingml.chart+xml"/>
  <Override PartName="/xl/charts/style129.xml" ContentType="application/vnd.ms-office.chartstyle+xml"/>
  <Override PartName="/xl/charts/colors129.xml" ContentType="application/vnd.ms-office.chartcolorstyle+xml"/>
  <Override PartName="/xl/charts/chart61.xml" ContentType="application/vnd.openxmlformats-officedocument.drawingml.chart+xml"/>
  <Override PartName="/xl/charts/style130.xml" ContentType="application/vnd.ms-office.chartstyle+xml"/>
  <Override PartName="/xl/charts/colors130.xml" ContentType="application/vnd.ms-office.chartcolorstyle+xml"/>
  <Override PartName="/xl/charts/chart62.xml" ContentType="application/vnd.openxmlformats-officedocument.drawingml.chart+xml"/>
  <Override PartName="/xl/charts/style131.xml" ContentType="application/vnd.ms-office.chartstyle+xml"/>
  <Override PartName="/xl/charts/colors131.xml" ContentType="application/vnd.ms-office.chartcolorstyle+xml"/>
  <Override PartName="/xl/charts/chart63.xml" ContentType="application/vnd.openxmlformats-officedocument.drawingml.chart+xml"/>
  <Override PartName="/xl/charts/style132.xml" ContentType="application/vnd.ms-office.chartstyle+xml"/>
  <Override PartName="/xl/charts/colors132.xml" ContentType="application/vnd.ms-office.chartcolorstyle+xml"/>
  <Override PartName="/xl/charts/chartEx70.xml" ContentType="application/vnd.ms-office.chartex+xml"/>
  <Override PartName="/xl/charts/style133.xml" ContentType="application/vnd.ms-office.chartstyle+xml"/>
  <Override PartName="/xl/charts/colors133.xml" ContentType="application/vnd.ms-office.chartcolorstyle+xml"/>
  <Override PartName="/xl/charts/chartEx71.xml" ContentType="application/vnd.ms-office.chartex+xml"/>
  <Override PartName="/xl/charts/style134.xml" ContentType="application/vnd.ms-office.chartstyle+xml"/>
  <Override PartName="/xl/charts/colors134.xml" ContentType="application/vnd.ms-office.chartcolorstyle+xml"/>
  <Override PartName="/xl/charts/chartEx72.xml" ContentType="application/vnd.ms-office.chartex+xml"/>
  <Override PartName="/xl/charts/style135.xml" ContentType="application/vnd.ms-office.chartstyle+xml"/>
  <Override PartName="/xl/charts/colors135.xml" ContentType="application/vnd.ms-office.chartcolorstyle+xml"/>
  <Override PartName="/xl/charts/chartEx73.xml" ContentType="application/vnd.ms-office.chartex+xml"/>
  <Override PartName="/xl/charts/style136.xml" ContentType="application/vnd.ms-office.chartstyle+xml"/>
  <Override PartName="/xl/charts/colors136.xml" ContentType="application/vnd.ms-office.chartcolorstyle+xml"/>
  <Override PartName="/xl/charts/chartEx74.xml" ContentType="application/vnd.ms-office.chartex+xml"/>
  <Override PartName="/xl/charts/style137.xml" ContentType="application/vnd.ms-office.chartstyle+xml"/>
  <Override PartName="/xl/charts/colors137.xml" ContentType="application/vnd.ms-office.chartcolorstyle+xml"/>
  <Override PartName="/xl/charts/chartEx75.xml" ContentType="application/vnd.ms-office.chartex+xml"/>
  <Override PartName="/xl/charts/style138.xml" ContentType="application/vnd.ms-office.chartstyle+xml"/>
  <Override PartName="/xl/charts/colors138.xml" ContentType="application/vnd.ms-office.chartcolorstyle+xml"/>
  <Override PartName="/xl/customProperty15.bin" ContentType="application/vnd.openxmlformats-officedocument.spreadsheetml.customProperty"/>
  <Override PartName="/xl/drawings/drawing15.xml" ContentType="application/vnd.openxmlformats-officedocument.drawing+xml"/>
  <Override PartName="/xl/charts/chartEx76.xml" ContentType="application/vnd.ms-office.chartex+xml"/>
  <Override PartName="/xl/charts/style139.xml" ContentType="application/vnd.ms-office.chartstyle+xml"/>
  <Override PartName="/xl/charts/colors139.xml" ContentType="application/vnd.ms-office.chartcolorstyle+xml"/>
  <Override PartName="/xl/charts/chartEx77.xml" ContentType="application/vnd.ms-office.chartex+xml"/>
  <Override PartName="/xl/charts/style140.xml" ContentType="application/vnd.ms-office.chartstyle+xml"/>
  <Override PartName="/xl/charts/colors14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codeName="ThisWorkbook"/>
  <mc:AlternateContent xmlns:mc="http://schemas.openxmlformats.org/markup-compatibility/2006">
    <mc:Choice Requires="x15">
      <x15ac:absPath xmlns:x15ac="http://schemas.microsoft.com/office/spreadsheetml/2010/11/ac" url="https://share.philips.com/sites/MoSOperatingCadence-2026/Shared Documents/Performance Reviews/Functional DMB Review Sheet/"/>
    </mc:Choice>
  </mc:AlternateContent>
  <xr:revisionPtr revIDLastSave="0" documentId="8_{826BC2EB-8246-4EA8-BE9B-C0D2F32AD184}" xr6:coauthVersionLast="47" xr6:coauthVersionMax="47" xr10:uidLastSave="{00000000-0000-0000-0000-000000000000}"/>
  <bookViews>
    <workbookView xWindow="-110" yWindow="-110" windowWidth="19420" windowHeight="11500" tabRatio="635" firstSheet="9" activeTab="9" xr2:uid="{28629BCA-31BA-4E86-8564-9DB8BEFF6656}"/>
  </bookViews>
  <sheets>
    <sheet name="MPR Review" sheetId="41" state="hidden" r:id="rId1"/>
    <sheet name="MasterSheet" sheetId="56" state="hidden" r:id="rId2"/>
    <sheet name="1.Quality" sheetId="51" r:id="rId3"/>
    <sheet name="2.Regulatory" sheetId="25" r:id="rId4"/>
    <sheet name="3.ISC " sheetId="50" r:id="rId5"/>
    <sheet name="4.Procurement" sheetId="49" r:id="rId6"/>
    <sheet name="5.R&amp;D " sheetId="48" r:id="rId7"/>
    <sheet name="6. Marketing" sheetId="60" r:id="rId8"/>
    <sheet name="Marketing June" sheetId="59" state="hidden" r:id="rId9"/>
    <sheet name="7.Customer Service" sheetId="46" r:id="rId10"/>
    <sheet name="8.Commercial Excellence" sheetId="53" r:id="rId11"/>
    <sheet name="9.NAR " sheetId="44" r:id="rId12"/>
    <sheet name="10.EUROPE " sheetId="43" r:id="rId13"/>
    <sheet name="11.GROWTH " sheetId="42" r:id="rId14"/>
    <sheet name="12.FINANCE" sheetId="52" r:id="rId15"/>
    <sheet name="Sheet1 (2)" sheetId="2" state="hidden" r:id="rId16"/>
  </sheets>
  <externalReferences>
    <externalReference r:id="rId17"/>
  </externalReferences>
  <definedNames>
    <definedName name="_xlchart.v1.0" hidden="1">'1.Quality'!$B$49:$D$49</definedName>
    <definedName name="_xlchart.v1.1" hidden="1">'1.Quality'!$C$50:$F$50</definedName>
    <definedName name="_xlchart.v1.10" hidden="1">'1.Quality'!$B$64:$F$64</definedName>
    <definedName name="_xlchart.v1.100" hidden="1">'9.NAR '!$B$52:$F$52</definedName>
    <definedName name="_xlchart.v1.101" hidden="1">'9.NAR '!$B$53:$F$53</definedName>
    <definedName name="_xlchart.v1.102" hidden="1">'9.NAR '!$B$55:$F$55</definedName>
    <definedName name="_xlchart.v1.103" hidden="1">'9.NAR '!$B$56:$F$56</definedName>
    <definedName name="_xlchart.v1.104" hidden="1">'9.NAR '!$B$58:$F$58</definedName>
    <definedName name="_xlchart.v1.105" hidden="1">'9.NAR '!$B$59:$F$59</definedName>
    <definedName name="_xlchart.v1.106" hidden="1">'9.NAR '!$B$61:$F$61</definedName>
    <definedName name="_xlchart.v1.107" hidden="1">'9.NAR '!$B$62:$F$62</definedName>
    <definedName name="_xlchart.v1.108" hidden="1">'9.NAR '!$B$64:$F$64</definedName>
    <definedName name="_xlchart.v1.109" hidden="1">'9.NAR '!$B$65:$F$65</definedName>
    <definedName name="_xlchart.v1.11" hidden="1">'1.Quality'!$B$65:$F$65</definedName>
    <definedName name="_xlchart.v1.110" hidden="1">'10.EUROPE '!$B$49:$F$49</definedName>
    <definedName name="_xlchart.v1.111" hidden="1">'10.EUROPE '!$B$50:$F$50</definedName>
    <definedName name="_xlchart.v1.112" hidden="1">'10.EUROPE '!$B$52:$F$52</definedName>
    <definedName name="_xlchart.v1.113" hidden="1">'10.EUROPE '!$B$53:$F$53</definedName>
    <definedName name="_xlchart.v1.114" hidden="1">'10.EUROPE '!$B$55:$F$55</definedName>
    <definedName name="_xlchart.v1.115" hidden="1">'10.EUROPE '!$B$56:$F$56</definedName>
    <definedName name="_xlchart.v1.116" hidden="1">'10.EUROPE '!$B$58:$F$58</definedName>
    <definedName name="_xlchart.v1.117" hidden="1">'10.EUROPE '!$B$59:$F$59</definedName>
    <definedName name="_xlchart.v1.118" hidden="1">'10.EUROPE '!$B$61:$F$61</definedName>
    <definedName name="_xlchart.v1.119" hidden="1">'10.EUROPE '!$B$62:$F$62</definedName>
    <definedName name="_xlchart.v1.12" hidden="1">'2.Regulatory'!$B$45:$F$45</definedName>
    <definedName name="_xlchart.v1.120" hidden="1">'10.EUROPE '!$B$64:$F$64</definedName>
    <definedName name="_xlchart.v1.121" hidden="1">'10.EUROPE '!$B$65:$F$65</definedName>
    <definedName name="_xlchart.v1.122" hidden="1">'11.GROWTH '!$B$51:$F$51</definedName>
    <definedName name="_xlchart.v1.123" hidden="1">'11.GROWTH '!$B$52:$F$52</definedName>
    <definedName name="_xlchart.v1.124" hidden="1">'11.GROWTH '!$B$54:$F$54</definedName>
    <definedName name="_xlchart.v1.125" hidden="1">'11.GROWTH '!$B$55:$F$55</definedName>
    <definedName name="_xlchart.v1.126" hidden="1">'11.GROWTH '!$B$57:$F$57</definedName>
    <definedName name="_xlchart.v1.127" hidden="1">'11.GROWTH '!$B$58:$F$58</definedName>
    <definedName name="_xlchart.v1.128" hidden="1">'11.GROWTH '!$B$60:$F$60</definedName>
    <definedName name="_xlchart.v1.129" hidden="1">'11.GROWTH '!$B$61:$F$61</definedName>
    <definedName name="_xlchart.v1.13" hidden="1">'2.Regulatory'!$B$46:$F$46</definedName>
    <definedName name="_xlchart.v1.130" hidden="1">'11.GROWTH '!$B$63:$F$63</definedName>
    <definedName name="_xlchart.v1.131" hidden="1">'11.GROWTH '!$B$64:$F$64</definedName>
    <definedName name="_xlchart.v1.132" hidden="1">'11.GROWTH '!$B$66:$F$66</definedName>
    <definedName name="_xlchart.v1.133" hidden="1">'11.GROWTH '!$B$67:$F$67</definedName>
    <definedName name="_xlchart.v1.134" hidden="1">'12.FINANCE'!$B$49:$F$49</definedName>
    <definedName name="_xlchart.v1.135" hidden="1">'12.FINANCE'!$B$50:$F$50</definedName>
    <definedName name="_xlchart.v1.136" hidden="1">'12.FINANCE'!$B$52:$F$52</definedName>
    <definedName name="_xlchart.v1.137" hidden="1">'12.FINANCE'!$B$53:$F$53</definedName>
    <definedName name="_xlchart.v1.138" hidden="1">'12.FINANCE'!$B$55:$F$55</definedName>
    <definedName name="_xlchart.v1.139" hidden="1">'12.FINANCE'!$B$56:$F$56</definedName>
    <definedName name="_xlchart.v1.14" hidden="1">'2.Regulatory'!$B$48:$F$48</definedName>
    <definedName name="_xlchart.v1.140" hidden="1">'12.FINANCE'!$B$58:$F$58</definedName>
    <definedName name="_xlchart.v1.141" hidden="1">'12.FINANCE'!$B$59:$F$59</definedName>
    <definedName name="_xlchart.v1.142" hidden="1">'12.FINANCE'!$B$61:$F$61</definedName>
    <definedName name="_xlchart.v1.143" hidden="1">'12.FINANCE'!$B$62:$F$62</definedName>
    <definedName name="_xlchart.v1.144" hidden="1">'12.FINANCE'!$B$64:$F$64</definedName>
    <definedName name="_xlchart.v1.145" hidden="1">'12.FINANCE'!$B$65:$F$65</definedName>
    <definedName name="_xlchart.v1.146" hidden="1">'Sheet1 (2)'!$B$45:$C$45</definedName>
    <definedName name="_xlchart.v1.147" hidden="1">'Sheet1 (2)'!$D$44:$H$44</definedName>
    <definedName name="_xlchart.v1.148" hidden="1">'Sheet1 (2)'!$D$45:$H$45</definedName>
    <definedName name="_xlchart.v1.149" hidden="1">'Sheet1 (2)'!$C$45</definedName>
    <definedName name="_xlchart.v1.15" hidden="1">'2.Regulatory'!$B$49:$F$49</definedName>
    <definedName name="_xlchart.v1.150" hidden="1">'Sheet1 (2)'!$D$44:$H$44</definedName>
    <definedName name="_xlchart.v1.151" hidden="1">'Sheet1 (2)'!$D$45:$H$45</definedName>
    <definedName name="_xlchart.v1.16" hidden="1">'2.Regulatory'!$B$52:$F$52</definedName>
    <definedName name="_xlchart.v1.17" hidden="1">'2.Regulatory'!$C$51:$F$51</definedName>
    <definedName name="_xlchart.v1.18" hidden="1">'2.Regulatory'!$B$54:$F$54</definedName>
    <definedName name="_xlchart.v1.19" hidden="1">'2.Regulatory'!$B$55:$F$55</definedName>
    <definedName name="_xlchart.v1.2" hidden="1">'1.Quality'!$B$52:$F$52</definedName>
    <definedName name="_xlchart.v1.20" hidden="1">'2.Regulatory'!$B$57:$F$57</definedName>
    <definedName name="_xlchart.v1.21" hidden="1">'2.Regulatory'!$B$58:$F$58</definedName>
    <definedName name="_xlchart.v1.22" hidden="1">'2.Regulatory'!$B$60:$F$60</definedName>
    <definedName name="_xlchart.v1.23" hidden="1">'2.Regulatory'!$B$61:$F$61</definedName>
    <definedName name="_xlchart.v1.24" hidden="1">'3.ISC '!$B$63:$F$63</definedName>
    <definedName name="_xlchart.v1.25" hidden="1">'3.ISC '!$B$64:$F$64</definedName>
    <definedName name="_xlchart.v1.26" hidden="1">'3.ISC '!$B$66:$F$66</definedName>
    <definedName name="_xlchart.v1.27" hidden="1">'3.ISC '!$B$67:$F$67</definedName>
    <definedName name="_xlchart.v1.28" hidden="1">'3.ISC '!$B$69:$F$69</definedName>
    <definedName name="_xlchart.v1.29" hidden="1">'3.ISC '!$B$70:$F$70</definedName>
    <definedName name="_xlchart.v1.3" hidden="1">'1.Quality'!$B$53:$F$53</definedName>
    <definedName name="_xlchart.v1.30" hidden="1">'3.ISC '!$B$72:$F$72</definedName>
    <definedName name="_xlchart.v1.31" hidden="1">'3.ISC '!$B$73:$F$73</definedName>
    <definedName name="_xlchart.v1.32" hidden="1">'3.ISC '!$B$75:$F$75</definedName>
    <definedName name="_xlchart.v1.33" hidden="1">'3.ISC '!$B$76:$F$76</definedName>
    <definedName name="_xlchart.v1.34" hidden="1">'3.ISC '!$B$78:$F$78</definedName>
    <definedName name="_xlchart.v1.35" hidden="1">'3.ISC '!$B$79:$F$79</definedName>
    <definedName name="_xlchart.v1.36" hidden="1">'4.Procurement'!$B$45:$F$45</definedName>
    <definedName name="_xlchart.v1.37" hidden="1">'4.Procurement'!$B$46:$F$46</definedName>
    <definedName name="_xlchart.v1.38" hidden="1">'4.Procurement'!$B$48:$F$48</definedName>
    <definedName name="_xlchart.v1.39" hidden="1">'4.Procurement'!$B$49:$F$49</definedName>
    <definedName name="_xlchart.v1.4" hidden="1">'1.Quality'!$B$55:$F$55</definedName>
    <definedName name="_xlchart.v1.40" hidden="1">'4.Procurement'!$B$51:$F$51</definedName>
    <definedName name="_xlchart.v1.41" hidden="1">'4.Procurement'!$B$52:$F$52</definedName>
    <definedName name="_xlchart.v1.42" hidden="1">'4.Procurement'!$B$54:$F$54</definedName>
    <definedName name="_xlchart.v1.43" hidden="1">'4.Procurement'!$B$55:$F$55</definedName>
    <definedName name="_xlchart.v1.44" hidden="1">'4.Procurement'!$B$57:$F$57</definedName>
    <definedName name="_xlchart.v1.45" hidden="1">'4.Procurement'!$B$58:$F$58</definedName>
    <definedName name="_xlchart.v1.46" hidden="1">'4.Procurement'!$B$60:$F$60</definedName>
    <definedName name="_xlchart.v1.47" hidden="1">'4.Procurement'!$B$61:$F$61</definedName>
    <definedName name="_xlchart.v1.48" hidden="1">'5.R&amp;D '!$B$51:$F$51</definedName>
    <definedName name="_xlchart.v1.49" hidden="1">'5.R&amp;D '!$B$52:$F$52</definedName>
    <definedName name="_xlchart.v1.5" hidden="1">'1.Quality'!$B$56:$F$56</definedName>
    <definedName name="_xlchart.v1.50" hidden="1">'5.R&amp;D '!$B$54:$F$54</definedName>
    <definedName name="_xlchart.v1.51" hidden="1">'5.R&amp;D '!$B$55:$F$55</definedName>
    <definedName name="_xlchart.v1.52" hidden="1">'5.R&amp;D '!$B$57:$F$57</definedName>
    <definedName name="_xlchart.v1.53" hidden="1">'5.R&amp;D '!$B$58:$F$58</definedName>
    <definedName name="_xlchart.v1.54" hidden="1">'5.R&amp;D '!$B$60:$F$60</definedName>
    <definedName name="_xlchart.v1.55" hidden="1">'5.R&amp;D '!$B$61:$F$61</definedName>
    <definedName name="_xlchart.v1.56" hidden="1">'5.R&amp;D '!$B$63:$F$63</definedName>
    <definedName name="_xlchart.v1.57" hidden="1">'5.R&amp;D '!$B$64:$F$64</definedName>
    <definedName name="_xlchart.v1.58" hidden="1">'5.R&amp;D '!$B$66:$F$66</definedName>
    <definedName name="_xlchart.v1.59" hidden="1">'5.R&amp;D '!$B$67:$F$67</definedName>
    <definedName name="_xlchart.v1.6" hidden="1">'1.Quality'!$B$58:$F$58</definedName>
    <definedName name="_xlchart.v1.60" hidden="1">'6. Marketing'!$B$48:$F$48</definedName>
    <definedName name="_xlchart.v1.61" hidden="1">'6. Marketing'!$B$49:$F$49</definedName>
    <definedName name="_xlchart.v1.62" hidden="1">'6. Marketing'!$B$57:$D$57</definedName>
    <definedName name="_xlchart.v1.63" hidden="1">'6. Marketing'!$B$58:$D$58</definedName>
    <definedName name="_xlchart.v1.64" hidden="1">'6. Marketing'!$B$60:$C$60</definedName>
    <definedName name="_xlchart.v1.65" hidden="1">'6. Marketing'!$B$61:$C$61</definedName>
    <definedName name="_xlchart.v1.66" hidden="1">'Marketing June'!$B$48:$F$48</definedName>
    <definedName name="_xlchart.v1.67" hidden="1">'Marketing June'!$B$49:$F$49</definedName>
    <definedName name="_xlchart.v1.68" hidden="1">'Marketing June'!$B$57:$D$57</definedName>
    <definedName name="_xlchart.v1.69" hidden="1">'Marketing June'!$B$58:$D$58</definedName>
    <definedName name="_xlchart.v1.7" hidden="1">'1.Quality'!$B$59:$F$59</definedName>
    <definedName name="_xlchart.v1.70" hidden="1">'Marketing June'!$B$60:$C$60</definedName>
    <definedName name="_xlchart.v1.71" hidden="1">'Marketing June'!$B$61:$C$61</definedName>
    <definedName name="_xlchart.v1.72" hidden="1">'7.Customer Service'!$B$51:$F$51</definedName>
    <definedName name="_xlchart.v1.73" hidden="1">'7.Customer Service'!$B$52:$F$52</definedName>
    <definedName name="_xlchart.v1.74" hidden="1">'7.Customer Service'!$B$54:$F$54</definedName>
    <definedName name="_xlchart.v1.75" hidden="1">'7.Customer Service'!$B$55:$F$55</definedName>
    <definedName name="_xlchart.v1.76" hidden="1">'7.Customer Service'!$B$57:$F$57</definedName>
    <definedName name="_xlchart.v1.77" hidden="1">'7.Customer Service'!$B$58:$F$58</definedName>
    <definedName name="_xlchart.v1.78" hidden="1">'7.Customer Service'!$B$60:$F$60</definedName>
    <definedName name="_xlchart.v1.79" hidden="1">'7.Customer Service'!$B$61:$F$61</definedName>
    <definedName name="_xlchart.v1.8" hidden="1">'1.Quality'!$B$61:$F$61</definedName>
    <definedName name="_xlchart.v1.80" hidden="1">'7.Customer Service'!$B$63:$F$63</definedName>
    <definedName name="_xlchart.v1.81" hidden="1">'7.Customer Service'!$B$64:$F$64</definedName>
    <definedName name="_xlchart.v1.82" hidden="1">'7.Customer Service'!$B$66:$F$66</definedName>
    <definedName name="_xlchart.v1.83" hidden="1">'7.Customer Service'!$B$67:$F$67</definedName>
    <definedName name="_xlchart.v1.84" hidden="1">'7.Customer Service'!$B$69:$F$69</definedName>
    <definedName name="_xlchart.v1.85" hidden="1">'7.Customer Service'!$B$70:$F$70</definedName>
    <definedName name="_xlchart.v1.86" hidden="1">'8.Commercial Excellence'!$B$47:$F$47</definedName>
    <definedName name="_xlchart.v1.87" hidden="1">'8.Commercial Excellence'!$B$48:$F$48</definedName>
    <definedName name="_xlchart.v1.88" hidden="1">'8.Commercial Excellence'!$B$50:$F$50</definedName>
    <definedName name="_xlchart.v1.89" hidden="1">'8.Commercial Excellence'!$B$51:$F$51</definedName>
    <definedName name="_xlchart.v1.9" hidden="1">'1.Quality'!$B$62:$F$62</definedName>
    <definedName name="_xlchart.v1.90" hidden="1">'8.Commercial Excellence'!$B$53:$F$53</definedName>
    <definedName name="_xlchart.v1.91" hidden="1">'8.Commercial Excellence'!$B$54:$F$54</definedName>
    <definedName name="_xlchart.v1.92" hidden="1">'8.Commercial Excellence'!$B$56:$F$56</definedName>
    <definedName name="_xlchart.v1.93" hidden="1">'8.Commercial Excellence'!$B$57:$F$57</definedName>
    <definedName name="_xlchart.v1.94" hidden="1">'8.Commercial Excellence'!$B$59:$F$59</definedName>
    <definedName name="_xlchart.v1.95" hidden="1">'8.Commercial Excellence'!$B$60:$F$60</definedName>
    <definedName name="_xlchart.v1.96" hidden="1">'8.Commercial Excellence'!$B$62:$F$62</definedName>
    <definedName name="_xlchart.v1.97" hidden="1">'8.Commercial Excellence'!$B$63:$F$63</definedName>
    <definedName name="_xlchart.v1.98" hidden="1">'9.NAR '!$B$49:$F$49</definedName>
    <definedName name="_xlchart.v1.99" hidden="1">'9.NAR '!$B$50:$F$50</definedName>
    <definedName name="DMB">#REF!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24" i="48" l="1"/>
  <c r="K124" i="48"/>
  <c r="K143" i="48"/>
  <c r="K142" i="48"/>
  <c r="K140" i="48"/>
  <c r="K144" i="48"/>
  <c r="L126" i="48"/>
  <c r="L127" i="48"/>
  <c r="K127" i="48"/>
  <c r="P11" i="25"/>
  <c r="P19" i="25"/>
  <c r="P17" i="25"/>
  <c r="P7" i="25"/>
  <c r="O19" i="25"/>
  <c r="O17" i="25"/>
  <c r="O11" i="25"/>
  <c r="O7" i="25"/>
  <c r="H24" i="60" l="1"/>
  <c r="AI6" i="60"/>
  <c r="AH6" i="60"/>
  <c r="AG6" i="60"/>
  <c r="AF6" i="60"/>
  <c r="AE6" i="60"/>
  <c r="AD6" i="60"/>
  <c r="AC6" i="60"/>
  <c r="AB6" i="60"/>
  <c r="AA6" i="60"/>
  <c r="Z6" i="60"/>
  <c r="Y6" i="60"/>
  <c r="X6" i="60"/>
  <c r="AI5" i="60"/>
  <c r="AH5" i="60"/>
  <c r="AG5" i="60"/>
  <c r="AF5" i="60"/>
  <c r="AE5" i="60"/>
  <c r="AD5" i="60"/>
  <c r="AC5" i="60"/>
  <c r="AB5" i="60"/>
  <c r="AA5" i="60"/>
  <c r="Z5" i="60"/>
  <c r="Y5" i="60"/>
  <c r="X5" i="60"/>
  <c r="AI4" i="60"/>
  <c r="AH4" i="60"/>
  <c r="AG4" i="60"/>
  <c r="AF4" i="60"/>
  <c r="AE4" i="60"/>
  <c r="AD4" i="60"/>
  <c r="AC4" i="60"/>
  <c r="AB4" i="60"/>
  <c r="AA4" i="60"/>
  <c r="Z4" i="60"/>
  <c r="Y4" i="60"/>
  <c r="X4" i="60"/>
  <c r="AI3" i="60"/>
  <c r="AH3" i="60"/>
  <c r="AG3" i="60"/>
  <c r="AF3" i="60"/>
  <c r="AE3" i="60"/>
  <c r="AD3" i="60"/>
  <c r="AC3" i="60"/>
  <c r="AB3" i="60"/>
  <c r="AA3" i="60"/>
  <c r="Z3" i="60"/>
  <c r="Y3" i="60"/>
  <c r="X3" i="60"/>
  <c r="AI2" i="60"/>
  <c r="AH2" i="60"/>
  <c r="AG2" i="60"/>
  <c r="AF2" i="60"/>
  <c r="AE2" i="60"/>
  <c r="AD2" i="60"/>
  <c r="AC2" i="60"/>
  <c r="AB2" i="60"/>
  <c r="AA2" i="60"/>
  <c r="Z2" i="60"/>
  <c r="Y2" i="60"/>
  <c r="X2" i="60"/>
  <c r="AI1" i="60"/>
  <c r="AH1" i="60"/>
  <c r="AG1" i="60"/>
  <c r="AF1" i="60"/>
  <c r="AE1" i="60"/>
  <c r="AD1" i="60"/>
  <c r="AC1" i="60"/>
  <c r="AB1" i="60"/>
  <c r="AA1" i="60"/>
  <c r="Z1" i="60"/>
  <c r="Y1" i="60"/>
  <c r="X1" i="60"/>
  <c r="F67" i="50"/>
  <c r="E67" i="50"/>
  <c r="D67" i="50"/>
  <c r="C67" i="50"/>
  <c r="B67" i="50"/>
  <c r="J142" i="48" l="1"/>
  <c r="J140" i="48"/>
  <c r="K126" i="48"/>
  <c r="J143" i="48" s="1"/>
  <c r="J144" i="48" l="1"/>
  <c r="O23" i="48"/>
  <c r="H24" i="59"/>
  <c r="AI6" i="59"/>
  <c r="AH6" i="59"/>
  <c r="AG6" i="59"/>
  <c r="AF6" i="59"/>
  <c r="AE6" i="59"/>
  <c r="AD6" i="59"/>
  <c r="AC6" i="59"/>
  <c r="AB6" i="59"/>
  <c r="AA6" i="59"/>
  <c r="Z6" i="59"/>
  <c r="Y6" i="59"/>
  <c r="X6" i="59"/>
  <c r="AI5" i="59"/>
  <c r="AH5" i="59"/>
  <c r="AG5" i="59"/>
  <c r="AF5" i="59"/>
  <c r="AE5" i="59"/>
  <c r="AD5" i="59"/>
  <c r="AC5" i="59"/>
  <c r="AB5" i="59"/>
  <c r="AA5" i="59"/>
  <c r="Z5" i="59"/>
  <c r="Y5" i="59"/>
  <c r="X5" i="59"/>
  <c r="AI4" i="59"/>
  <c r="AH4" i="59"/>
  <c r="AG4" i="59"/>
  <c r="AF4" i="59"/>
  <c r="AE4" i="59"/>
  <c r="AD4" i="59"/>
  <c r="AC4" i="59"/>
  <c r="AB4" i="59"/>
  <c r="AA4" i="59"/>
  <c r="Z4" i="59"/>
  <c r="Y4" i="59"/>
  <c r="X4" i="59"/>
  <c r="AI3" i="59"/>
  <c r="AH3" i="59"/>
  <c r="AG3" i="59"/>
  <c r="AF3" i="59"/>
  <c r="AE3" i="59"/>
  <c r="AD3" i="59"/>
  <c r="AC3" i="59"/>
  <c r="AB3" i="59"/>
  <c r="AA3" i="59"/>
  <c r="Z3" i="59"/>
  <c r="Y3" i="59"/>
  <c r="X3" i="59"/>
  <c r="AI2" i="59"/>
  <c r="AH2" i="59"/>
  <c r="AG2" i="59"/>
  <c r="AF2" i="59"/>
  <c r="AE2" i="59"/>
  <c r="AD2" i="59"/>
  <c r="AC2" i="59"/>
  <c r="AB2" i="59"/>
  <c r="AA2" i="59"/>
  <c r="Z2" i="59"/>
  <c r="Y2" i="59"/>
  <c r="X2" i="59"/>
  <c r="AI1" i="59"/>
  <c r="AH1" i="59"/>
  <c r="AG1" i="59"/>
  <c r="AF1" i="59"/>
  <c r="AE1" i="59"/>
  <c r="AD1" i="59"/>
  <c r="AC1" i="59"/>
  <c r="AB1" i="59"/>
  <c r="AA1" i="59"/>
  <c r="Z1" i="59"/>
  <c r="Y1" i="59"/>
  <c r="X1" i="59"/>
  <c r="N23" i="48"/>
  <c r="M23" i="48"/>
  <c r="L23" i="48"/>
  <c r="K17" i="25"/>
  <c r="N9" i="49"/>
  <c r="J122" i="48"/>
  <c r="I140" i="48" s="1"/>
  <c r="J124" i="48"/>
  <c r="I142" i="48" s="1"/>
  <c r="J126" i="48"/>
  <c r="I143" i="48" s="1"/>
  <c r="J127" i="48"/>
  <c r="I144" i="48" l="1"/>
  <c r="N19" i="25"/>
  <c r="N11" i="25"/>
  <c r="L15" i="25"/>
  <c r="N15" i="25"/>
  <c r="N17" i="25"/>
  <c r="N7" i="25"/>
  <c r="M15" i="25" l="1"/>
  <c r="M7" i="25"/>
  <c r="M19" i="25"/>
  <c r="M17" i="25"/>
  <c r="M11" i="25"/>
  <c r="I127" i="48"/>
  <c r="H127" i="48"/>
  <c r="I126" i="48"/>
  <c r="I124" i="48"/>
  <c r="I123" i="48"/>
  <c r="I122" i="48"/>
  <c r="X6" i="50"/>
  <c r="Y6" i="50"/>
  <c r="Z6" i="50"/>
  <c r="AA6" i="50"/>
  <c r="AB6" i="50"/>
  <c r="AC6" i="50"/>
  <c r="AD6" i="50"/>
  <c r="AE6" i="50"/>
  <c r="AF6" i="50"/>
  <c r="AG6" i="50"/>
  <c r="I7" i="49"/>
  <c r="J7" i="49" s="1"/>
  <c r="K7" i="49" s="1"/>
  <c r="L7" i="49" s="1"/>
  <c r="H143" i="48" l="1"/>
  <c r="H142" i="48"/>
  <c r="H140" i="48"/>
  <c r="H144" i="48" l="1"/>
  <c r="K56" i="56"/>
  <c r="L56" i="56"/>
  <c r="J56" i="56"/>
  <c r="M56" i="56"/>
  <c r="N56" i="56"/>
  <c r="O56" i="56"/>
  <c r="P56" i="56"/>
  <c r="Q56" i="56"/>
  <c r="R56" i="56"/>
  <c r="S56" i="56"/>
  <c r="T56" i="56"/>
  <c r="H143" i="56" l="1"/>
  <c r="I143" i="56"/>
  <c r="J143" i="56"/>
  <c r="K143" i="56"/>
  <c r="L143" i="56"/>
  <c r="M143" i="56"/>
  <c r="N143" i="56"/>
  <c r="O143" i="56"/>
  <c r="P143" i="56"/>
  <c r="Q143" i="56"/>
  <c r="R143" i="56"/>
  <c r="S143" i="56"/>
  <c r="T143" i="56"/>
  <c r="H144" i="56"/>
  <c r="I144" i="56"/>
  <c r="J144" i="56"/>
  <c r="K144" i="56"/>
  <c r="L144" i="56"/>
  <c r="M144" i="56"/>
  <c r="N144" i="56"/>
  <c r="O144" i="56"/>
  <c r="P144" i="56"/>
  <c r="Q144" i="56"/>
  <c r="R144" i="56"/>
  <c r="S144" i="56"/>
  <c r="T144" i="56"/>
  <c r="H145" i="56"/>
  <c r="I145" i="56"/>
  <c r="J145" i="56"/>
  <c r="K145" i="56"/>
  <c r="L145" i="56"/>
  <c r="M145" i="56"/>
  <c r="N145" i="56"/>
  <c r="O145" i="56"/>
  <c r="P145" i="56"/>
  <c r="Q145" i="56"/>
  <c r="R145" i="56"/>
  <c r="S145" i="56"/>
  <c r="T145" i="56"/>
  <c r="H146" i="56"/>
  <c r="I146" i="56"/>
  <c r="J146" i="56"/>
  <c r="K146" i="56"/>
  <c r="L146" i="56"/>
  <c r="M146" i="56"/>
  <c r="N146" i="56"/>
  <c r="O146" i="56"/>
  <c r="P146" i="56"/>
  <c r="Q146" i="56"/>
  <c r="R146" i="56"/>
  <c r="S146" i="56"/>
  <c r="T146" i="56"/>
  <c r="H147" i="56"/>
  <c r="I147" i="56"/>
  <c r="J147" i="56"/>
  <c r="K147" i="56"/>
  <c r="L147" i="56"/>
  <c r="M147" i="56"/>
  <c r="N147" i="56"/>
  <c r="O147" i="56"/>
  <c r="P147" i="56"/>
  <c r="Q147" i="56"/>
  <c r="R147" i="56"/>
  <c r="S147" i="56"/>
  <c r="T147" i="56"/>
  <c r="H148" i="56"/>
  <c r="I148" i="56"/>
  <c r="J148" i="56"/>
  <c r="K148" i="56"/>
  <c r="L148" i="56"/>
  <c r="M148" i="56"/>
  <c r="N148" i="56"/>
  <c r="O148" i="56"/>
  <c r="P148" i="56"/>
  <c r="Q148" i="56"/>
  <c r="R148" i="56"/>
  <c r="S148" i="56"/>
  <c r="T148" i="56"/>
  <c r="H149" i="56"/>
  <c r="I149" i="56"/>
  <c r="J149" i="56"/>
  <c r="K149" i="56"/>
  <c r="L149" i="56"/>
  <c r="M149" i="56"/>
  <c r="N149" i="56"/>
  <c r="O149" i="56"/>
  <c r="P149" i="56"/>
  <c r="Q149" i="56"/>
  <c r="R149" i="56"/>
  <c r="S149" i="56"/>
  <c r="T149" i="56"/>
  <c r="H150" i="56"/>
  <c r="I150" i="56"/>
  <c r="J150" i="56"/>
  <c r="K150" i="56"/>
  <c r="L150" i="56"/>
  <c r="M150" i="56"/>
  <c r="N150" i="56"/>
  <c r="O150" i="56"/>
  <c r="P150" i="56"/>
  <c r="Q150" i="56"/>
  <c r="R150" i="56"/>
  <c r="S150" i="56"/>
  <c r="T150" i="56"/>
  <c r="H151" i="56"/>
  <c r="I151" i="56"/>
  <c r="J151" i="56"/>
  <c r="K151" i="56"/>
  <c r="L151" i="56"/>
  <c r="M151" i="56"/>
  <c r="N151" i="56"/>
  <c r="O151" i="56"/>
  <c r="P151" i="56"/>
  <c r="Q151" i="56"/>
  <c r="R151" i="56"/>
  <c r="S151" i="56"/>
  <c r="T151" i="56"/>
  <c r="H152" i="56"/>
  <c r="I152" i="56"/>
  <c r="J152" i="56"/>
  <c r="K152" i="56"/>
  <c r="L152" i="56"/>
  <c r="M152" i="56"/>
  <c r="N152" i="56"/>
  <c r="O152" i="56"/>
  <c r="P152" i="56"/>
  <c r="Q152" i="56"/>
  <c r="R152" i="56"/>
  <c r="S152" i="56"/>
  <c r="T152" i="56"/>
  <c r="H153" i="56"/>
  <c r="I153" i="56"/>
  <c r="J153" i="56"/>
  <c r="K153" i="56"/>
  <c r="L153" i="56"/>
  <c r="M153" i="56"/>
  <c r="N153" i="56"/>
  <c r="O153" i="56"/>
  <c r="P153" i="56"/>
  <c r="Q153" i="56"/>
  <c r="R153" i="56"/>
  <c r="S153" i="56"/>
  <c r="T153" i="56"/>
  <c r="H154" i="56"/>
  <c r="I154" i="56"/>
  <c r="J154" i="56"/>
  <c r="K154" i="56"/>
  <c r="L154" i="56"/>
  <c r="M154" i="56"/>
  <c r="N154" i="56"/>
  <c r="O154" i="56"/>
  <c r="P154" i="56"/>
  <c r="Q154" i="56"/>
  <c r="R154" i="56"/>
  <c r="S154" i="56"/>
  <c r="T154" i="56"/>
  <c r="H155" i="56"/>
  <c r="I155" i="56"/>
  <c r="J155" i="56"/>
  <c r="L155" i="56"/>
  <c r="M155" i="56"/>
  <c r="N155" i="56"/>
  <c r="O155" i="56"/>
  <c r="P155" i="56"/>
  <c r="Q155" i="56"/>
  <c r="R155" i="56"/>
  <c r="S155" i="56"/>
  <c r="T155" i="56"/>
  <c r="I142" i="56"/>
  <c r="J142" i="56"/>
  <c r="K142" i="56"/>
  <c r="L142" i="56"/>
  <c r="M142" i="56"/>
  <c r="N142" i="56"/>
  <c r="O142" i="56"/>
  <c r="P142" i="56"/>
  <c r="Q142" i="56"/>
  <c r="R142" i="56"/>
  <c r="S142" i="56"/>
  <c r="T142" i="56"/>
  <c r="H142" i="56"/>
  <c r="H128" i="56"/>
  <c r="I128" i="56"/>
  <c r="J128" i="56"/>
  <c r="K128" i="56"/>
  <c r="L128" i="56"/>
  <c r="M128" i="56"/>
  <c r="N128" i="56"/>
  <c r="O128" i="56"/>
  <c r="P128" i="56"/>
  <c r="Q128" i="56"/>
  <c r="R128" i="56"/>
  <c r="S128" i="56"/>
  <c r="T128" i="56"/>
  <c r="H129" i="56"/>
  <c r="I129" i="56"/>
  <c r="J129" i="56"/>
  <c r="K129" i="56"/>
  <c r="L129" i="56"/>
  <c r="M129" i="56"/>
  <c r="N129" i="56"/>
  <c r="O129" i="56"/>
  <c r="P129" i="56"/>
  <c r="Q129" i="56"/>
  <c r="R129" i="56"/>
  <c r="S129" i="56"/>
  <c r="T129" i="56"/>
  <c r="H130" i="56"/>
  <c r="I130" i="56"/>
  <c r="J130" i="56"/>
  <c r="K130" i="56"/>
  <c r="L130" i="56"/>
  <c r="M130" i="56"/>
  <c r="N130" i="56"/>
  <c r="O130" i="56"/>
  <c r="P130" i="56"/>
  <c r="Q130" i="56"/>
  <c r="R130" i="56"/>
  <c r="S130" i="56"/>
  <c r="T130" i="56"/>
  <c r="H131" i="56"/>
  <c r="I131" i="56"/>
  <c r="J131" i="56"/>
  <c r="K131" i="56"/>
  <c r="L131" i="56"/>
  <c r="M131" i="56"/>
  <c r="N131" i="56"/>
  <c r="O131" i="56"/>
  <c r="P131" i="56"/>
  <c r="Q131" i="56"/>
  <c r="R131" i="56"/>
  <c r="S131" i="56"/>
  <c r="T131" i="56"/>
  <c r="H132" i="56"/>
  <c r="I132" i="56"/>
  <c r="J132" i="56"/>
  <c r="K132" i="56"/>
  <c r="L132" i="56"/>
  <c r="M132" i="56"/>
  <c r="N132" i="56"/>
  <c r="O132" i="56"/>
  <c r="P132" i="56"/>
  <c r="Q132" i="56"/>
  <c r="R132" i="56"/>
  <c r="S132" i="56"/>
  <c r="T132" i="56"/>
  <c r="H133" i="56"/>
  <c r="I133" i="56"/>
  <c r="J133" i="56"/>
  <c r="K133" i="56"/>
  <c r="L133" i="56"/>
  <c r="M133" i="56"/>
  <c r="N133" i="56"/>
  <c r="O133" i="56"/>
  <c r="P133" i="56"/>
  <c r="Q133" i="56"/>
  <c r="R133" i="56"/>
  <c r="S133" i="56"/>
  <c r="T133" i="56"/>
  <c r="H134" i="56"/>
  <c r="I134" i="56"/>
  <c r="J134" i="56"/>
  <c r="K134" i="56"/>
  <c r="L134" i="56"/>
  <c r="M134" i="56"/>
  <c r="N134" i="56"/>
  <c r="O134" i="56"/>
  <c r="P134" i="56"/>
  <c r="Q134" i="56"/>
  <c r="R134" i="56"/>
  <c r="S134" i="56"/>
  <c r="T134" i="56"/>
  <c r="H135" i="56"/>
  <c r="I135" i="56"/>
  <c r="J135" i="56"/>
  <c r="K135" i="56"/>
  <c r="L135" i="56"/>
  <c r="M135" i="56"/>
  <c r="N135" i="56"/>
  <c r="O135" i="56"/>
  <c r="P135" i="56"/>
  <c r="Q135" i="56"/>
  <c r="R135" i="56"/>
  <c r="S135" i="56"/>
  <c r="T135" i="56"/>
  <c r="H136" i="56"/>
  <c r="I136" i="56"/>
  <c r="J136" i="56"/>
  <c r="K136" i="56"/>
  <c r="L136" i="56"/>
  <c r="M136" i="56"/>
  <c r="N136" i="56"/>
  <c r="O136" i="56"/>
  <c r="P136" i="56"/>
  <c r="Q136" i="56"/>
  <c r="R136" i="56"/>
  <c r="S136" i="56"/>
  <c r="T136" i="56"/>
  <c r="H137" i="56"/>
  <c r="I137" i="56"/>
  <c r="J137" i="56"/>
  <c r="K137" i="56"/>
  <c r="L137" i="56"/>
  <c r="M137" i="56"/>
  <c r="N137" i="56"/>
  <c r="O137" i="56"/>
  <c r="P137" i="56"/>
  <c r="Q137" i="56"/>
  <c r="R137" i="56"/>
  <c r="S137" i="56"/>
  <c r="T137" i="56"/>
  <c r="H138" i="56"/>
  <c r="I138" i="56"/>
  <c r="J138" i="56"/>
  <c r="K138" i="56"/>
  <c r="L138" i="56"/>
  <c r="M138" i="56"/>
  <c r="N138" i="56"/>
  <c r="O138" i="56"/>
  <c r="P138" i="56"/>
  <c r="Q138" i="56"/>
  <c r="R138" i="56"/>
  <c r="S138" i="56"/>
  <c r="T138" i="56"/>
  <c r="P127" i="56"/>
  <c r="H127" i="56"/>
  <c r="H113" i="56"/>
  <c r="I113" i="56"/>
  <c r="J113" i="56"/>
  <c r="K113" i="56"/>
  <c r="L113" i="56"/>
  <c r="M113" i="56"/>
  <c r="N113" i="56"/>
  <c r="O113" i="56"/>
  <c r="P113" i="56"/>
  <c r="Q113" i="56"/>
  <c r="R113" i="56"/>
  <c r="S113" i="56"/>
  <c r="T113" i="56"/>
  <c r="H114" i="56"/>
  <c r="I114" i="56"/>
  <c r="J114" i="56"/>
  <c r="K114" i="56"/>
  <c r="L114" i="56"/>
  <c r="M114" i="56"/>
  <c r="N114" i="56"/>
  <c r="O114" i="56"/>
  <c r="P114" i="56"/>
  <c r="Q114" i="56"/>
  <c r="R114" i="56"/>
  <c r="S114" i="56"/>
  <c r="T114" i="56"/>
  <c r="H115" i="56"/>
  <c r="I115" i="56"/>
  <c r="J115" i="56"/>
  <c r="K115" i="56"/>
  <c r="L115" i="56"/>
  <c r="M115" i="56"/>
  <c r="N115" i="56"/>
  <c r="O115" i="56"/>
  <c r="P115" i="56"/>
  <c r="Q115" i="56"/>
  <c r="R115" i="56"/>
  <c r="S115" i="56"/>
  <c r="T115" i="56"/>
  <c r="H116" i="56"/>
  <c r="I116" i="56"/>
  <c r="J116" i="56"/>
  <c r="K116" i="56"/>
  <c r="L116" i="56"/>
  <c r="M116" i="56"/>
  <c r="N116" i="56"/>
  <c r="O116" i="56"/>
  <c r="P116" i="56"/>
  <c r="Q116" i="56"/>
  <c r="R116" i="56"/>
  <c r="S116" i="56"/>
  <c r="T116" i="56"/>
  <c r="H117" i="56"/>
  <c r="I117" i="56"/>
  <c r="J117" i="56"/>
  <c r="K117" i="56"/>
  <c r="L117" i="56"/>
  <c r="M117" i="56"/>
  <c r="N117" i="56"/>
  <c r="O117" i="56"/>
  <c r="P117" i="56"/>
  <c r="Q117" i="56"/>
  <c r="R117" i="56"/>
  <c r="S117" i="56"/>
  <c r="T117" i="56"/>
  <c r="H118" i="56"/>
  <c r="I118" i="56"/>
  <c r="J118" i="56"/>
  <c r="K118" i="56"/>
  <c r="L118" i="56"/>
  <c r="M118" i="56"/>
  <c r="N118" i="56"/>
  <c r="O118" i="56"/>
  <c r="P118" i="56"/>
  <c r="Q118" i="56"/>
  <c r="R118" i="56"/>
  <c r="S118" i="56"/>
  <c r="T118" i="56"/>
  <c r="H119" i="56"/>
  <c r="I119" i="56"/>
  <c r="J119" i="56"/>
  <c r="K119" i="56"/>
  <c r="L119" i="56"/>
  <c r="M119" i="56"/>
  <c r="N119" i="56"/>
  <c r="O119" i="56"/>
  <c r="P119" i="56"/>
  <c r="Q119" i="56"/>
  <c r="R119" i="56"/>
  <c r="S119" i="56"/>
  <c r="T119" i="56"/>
  <c r="H120" i="56"/>
  <c r="I120" i="56"/>
  <c r="J120" i="56"/>
  <c r="K120" i="56"/>
  <c r="L120" i="56"/>
  <c r="M120" i="56"/>
  <c r="N120" i="56"/>
  <c r="O120" i="56"/>
  <c r="P120" i="56"/>
  <c r="Q120" i="56"/>
  <c r="R120" i="56"/>
  <c r="S120" i="56"/>
  <c r="T120" i="56"/>
  <c r="H121" i="56"/>
  <c r="I121" i="56"/>
  <c r="J121" i="56"/>
  <c r="K121" i="56"/>
  <c r="L121" i="56"/>
  <c r="M121" i="56"/>
  <c r="N121" i="56"/>
  <c r="O121" i="56"/>
  <c r="P121" i="56"/>
  <c r="Q121" i="56"/>
  <c r="R121" i="56"/>
  <c r="S121" i="56"/>
  <c r="T121" i="56"/>
  <c r="H122" i="56"/>
  <c r="I122" i="56"/>
  <c r="J122" i="56"/>
  <c r="K122" i="56"/>
  <c r="L122" i="56"/>
  <c r="M122" i="56"/>
  <c r="N122" i="56"/>
  <c r="O122" i="56"/>
  <c r="P122" i="56"/>
  <c r="Q122" i="56"/>
  <c r="R122" i="56"/>
  <c r="S122" i="56"/>
  <c r="T122" i="56"/>
  <c r="H123" i="56"/>
  <c r="I123" i="56"/>
  <c r="J123" i="56"/>
  <c r="K123" i="56"/>
  <c r="L123" i="56"/>
  <c r="M123" i="56"/>
  <c r="N123" i="56"/>
  <c r="O123" i="56"/>
  <c r="P123" i="56"/>
  <c r="Q123" i="56"/>
  <c r="R123" i="56"/>
  <c r="S123" i="56"/>
  <c r="T123" i="56"/>
  <c r="I112" i="56"/>
  <c r="J112" i="56"/>
  <c r="K112" i="56"/>
  <c r="L112" i="56"/>
  <c r="M112" i="56"/>
  <c r="N112" i="56"/>
  <c r="O112" i="56"/>
  <c r="P112" i="56"/>
  <c r="Q112" i="56"/>
  <c r="R112" i="56"/>
  <c r="S112" i="56"/>
  <c r="T112" i="56"/>
  <c r="H112" i="56"/>
  <c r="H100" i="56"/>
  <c r="I100" i="56"/>
  <c r="J100" i="56"/>
  <c r="K100" i="56"/>
  <c r="L100" i="56"/>
  <c r="M100" i="56"/>
  <c r="N100" i="56"/>
  <c r="O100" i="56"/>
  <c r="P100" i="56"/>
  <c r="Q100" i="56"/>
  <c r="R100" i="56"/>
  <c r="S100" i="56"/>
  <c r="T100" i="56"/>
  <c r="H101" i="56"/>
  <c r="I101" i="56"/>
  <c r="J101" i="56"/>
  <c r="K101" i="56"/>
  <c r="L101" i="56"/>
  <c r="M101" i="56"/>
  <c r="N101" i="56"/>
  <c r="O101" i="56"/>
  <c r="P101" i="56"/>
  <c r="Q101" i="56"/>
  <c r="R101" i="56"/>
  <c r="S101" i="56"/>
  <c r="T101" i="56"/>
  <c r="H102" i="56"/>
  <c r="I102" i="56"/>
  <c r="J102" i="56"/>
  <c r="K102" i="56"/>
  <c r="L102" i="56"/>
  <c r="M102" i="56"/>
  <c r="N102" i="56"/>
  <c r="O102" i="56"/>
  <c r="P102" i="56"/>
  <c r="Q102" i="56"/>
  <c r="R102" i="56"/>
  <c r="S102" i="56"/>
  <c r="T102" i="56"/>
  <c r="H103" i="56"/>
  <c r="I103" i="56"/>
  <c r="J103" i="56"/>
  <c r="K103" i="56"/>
  <c r="L103" i="56"/>
  <c r="M103" i="56"/>
  <c r="N103" i="56"/>
  <c r="O103" i="56"/>
  <c r="P103" i="56"/>
  <c r="Q103" i="56"/>
  <c r="R103" i="56"/>
  <c r="S103" i="56"/>
  <c r="T103" i="56"/>
  <c r="H104" i="56"/>
  <c r="I104" i="56"/>
  <c r="J104" i="56"/>
  <c r="K104" i="56"/>
  <c r="L104" i="56"/>
  <c r="M104" i="56"/>
  <c r="N104" i="56"/>
  <c r="O104" i="56"/>
  <c r="P104" i="56"/>
  <c r="Q104" i="56"/>
  <c r="R104" i="56"/>
  <c r="S104" i="56"/>
  <c r="T104" i="56"/>
  <c r="H105" i="56"/>
  <c r="I105" i="56"/>
  <c r="J105" i="56"/>
  <c r="K105" i="56"/>
  <c r="L105" i="56"/>
  <c r="M105" i="56"/>
  <c r="N105" i="56"/>
  <c r="O105" i="56"/>
  <c r="P105" i="56"/>
  <c r="Q105" i="56"/>
  <c r="R105" i="56"/>
  <c r="S105" i="56"/>
  <c r="T105" i="56"/>
  <c r="H106" i="56"/>
  <c r="I106" i="56"/>
  <c r="J106" i="56"/>
  <c r="K106" i="56"/>
  <c r="L106" i="56"/>
  <c r="M106" i="56"/>
  <c r="N106" i="56"/>
  <c r="O106" i="56"/>
  <c r="P106" i="56"/>
  <c r="Q106" i="56"/>
  <c r="R106" i="56"/>
  <c r="S106" i="56"/>
  <c r="T106" i="56"/>
  <c r="H107" i="56"/>
  <c r="I107" i="56"/>
  <c r="J107" i="56"/>
  <c r="K107" i="56"/>
  <c r="L107" i="56"/>
  <c r="M107" i="56"/>
  <c r="N107" i="56"/>
  <c r="O107" i="56"/>
  <c r="P107" i="56"/>
  <c r="Q107" i="56"/>
  <c r="R107" i="56"/>
  <c r="S107" i="56"/>
  <c r="T107" i="56"/>
  <c r="H108" i="56"/>
  <c r="I108" i="56"/>
  <c r="J108" i="56"/>
  <c r="K108" i="56"/>
  <c r="L108" i="56"/>
  <c r="M108" i="56"/>
  <c r="N108" i="56"/>
  <c r="O108" i="56"/>
  <c r="P108" i="56"/>
  <c r="Q108" i="56"/>
  <c r="R108" i="56"/>
  <c r="S108" i="56"/>
  <c r="T108" i="56"/>
  <c r="I99" i="56"/>
  <c r="J99" i="56"/>
  <c r="K99" i="56"/>
  <c r="L99" i="56"/>
  <c r="M99" i="56"/>
  <c r="N99" i="56"/>
  <c r="O99" i="56"/>
  <c r="P99" i="56"/>
  <c r="Q99" i="56"/>
  <c r="R99" i="56"/>
  <c r="S99" i="56"/>
  <c r="T99" i="56"/>
  <c r="H99" i="56"/>
  <c r="H83" i="56"/>
  <c r="I83" i="56"/>
  <c r="J83" i="56"/>
  <c r="K83" i="56"/>
  <c r="L83" i="56"/>
  <c r="M83" i="56"/>
  <c r="N83" i="56"/>
  <c r="O83" i="56"/>
  <c r="P83" i="56"/>
  <c r="Q83" i="56"/>
  <c r="R83" i="56"/>
  <c r="S83" i="56"/>
  <c r="T83" i="56"/>
  <c r="H84" i="56"/>
  <c r="I84" i="56"/>
  <c r="J84" i="56"/>
  <c r="K84" i="56"/>
  <c r="L84" i="56"/>
  <c r="M84" i="56"/>
  <c r="N84" i="56"/>
  <c r="O84" i="56"/>
  <c r="P84" i="56"/>
  <c r="Q84" i="56"/>
  <c r="R84" i="56"/>
  <c r="S84" i="56"/>
  <c r="T84" i="56"/>
  <c r="H85" i="56"/>
  <c r="I85" i="56"/>
  <c r="J85" i="56"/>
  <c r="K85" i="56"/>
  <c r="L85" i="56"/>
  <c r="M85" i="56"/>
  <c r="N85" i="56"/>
  <c r="O85" i="56"/>
  <c r="P85" i="56"/>
  <c r="Q85" i="56"/>
  <c r="R85" i="56"/>
  <c r="S85" i="56"/>
  <c r="T85" i="56"/>
  <c r="H86" i="56"/>
  <c r="I86" i="56"/>
  <c r="J86" i="56"/>
  <c r="K86" i="56"/>
  <c r="L86" i="56"/>
  <c r="M86" i="56"/>
  <c r="N86" i="56"/>
  <c r="O86" i="56"/>
  <c r="P86" i="56"/>
  <c r="Q86" i="56"/>
  <c r="R86" i="56"/>
  <c r="S86" i="56"/>
  <c r="T86" i="56"/>
  <c r="H87" i="56"/>
  <c r="I87" i="56"/>
  <c r="J87" i="56"/>
  <c r="K87" i="56"/>
  <c r="L87" i="56"/>
  <c r="M87" i="56"/>
  <c r="N87" i="56"/>
  <c r="O87" i="56"/>
  <c r="P87" i="56"/>
  <c r="Q87" i="56"/>
  <c r="R87" i="56"/>
  <c r="S87" i="56"/>
  <c r="T87" i="56"/>
  <c r="H88" i="56"/>
  <c r="I88" i="56"/>
  <c r="J88" i="56"/>
  <c r="K88" i="56"/>
  <c r="L88" i="56"/>
  <c r="M88" i="56"/>
  <c r="N88" i="56"/>
  <c r="O88" i="56"/>
  <c r="P88" i="56"/>
  <c r="Q88" i="56"/>
  <c r="R88" i="56"/>
  <c r="S88" i="56"/>
  <c r="T88" i="56"/>
  <c r="H89" i="56"/>
  <c r="I89" i="56"/>
  <c r="J89" i="56"/>
  <c r="K89" i="56"/>
  <c r="L89" i="56"/>
  <c r="M89" i="56"/>
  <c r="N89" i="56"/>
  <c r="O89" i="56"/>
  <c r="P89" i="56"/>
  <c r="Q89" i="56"/>
  <c r="R89" i="56"/>
  <c r="S89" i="56"/>
  <c r="T89" i="56"/>
  <c r="H90" i="56"/>
  <c r="I90" i="56"/>
  <c r="J90" i="56"/>
  <c r="K90" i="56"/>
  <c r="L90" i="56"/>
  <c r="M90" i="56"/>
  <c r="N90" i="56"/>
  <c r="O90" i="56"/>
  <c r="P90" i="56"/>
  <c r="Q90" i="56"/>
  <c r="R90" i="56"/>
  <c r="S90" i="56"/>
  <c r="T90" i="56"/>
  <c r="H91" i="56"/>
  <c r="I91" i="56"/>
  <c r="J91" i="56"/>
  <c r="K91" i="56"/>
  <c r="L91" i="56"/>
  <c r="M91" i="56"/>
  <c r="N91" i="56"/>
  <c r="O91" i="56"/>
  <c r="P91" i="56"/>
  <c r="Q91" i="56"/>
  <c r="R91" i="56"/>
  <c r="S91" i="56"/>
  <c r="T91" i="56"/>
  <c r="H92" i="56"/>
  <c r="I92" i="56"/>
  <c r="J92" i="56"/>
  <c r="K92" i="56"/>
  <c r="L92" i="56"/>
  <c r="M92" i="56"/>
  <c r="N92" i="56"/>
  <c r="O92" i="56"/>
  <c r="P92" i="56"/>
  <c r="Q92" i="56"/>
  <c r="R92" i="56"/>
  <c r="S92" i="56"/>
  <c r="T92" i="56"/>
  <c r="H93" i="56"/>
  <c r="I93" i="56"/>
  <c r="J93" i="56"/>
  <c r="K93" i="56"/>
  <c r="L93" i="56"/>
  <c r="M93" i="56"/>
  <c r="N93" i="56"/>
  <c r="O93" i="56"/>
  <c r="P93" i="56"/>
  <c r="Q93" i="56"/>
  <c r="R93" i="56"/>
  <c r="S93" i="56"/>
  <c r="T93" i="56"/>
  <c r="H94" i="56"/>
  <c r="H95" i="56"/>
  <c r="I95" i="56"/>
  <c r="J95" i="56"/>
  <c r="K95" i="56"/>
  <c r="L95" i="56"/>
  <c r="M95" i="56"/>
  <c r="N95" i="56"/>
  <c r="O95" i="56"/>
  <c r="P95" i="56"/>
  <c r="Q95" i="56"/>
  <c r="R95" i="56"/>
  <c r="S95" i="56"/>
  <c r="T95" i="56"/>
  <c r="I82" i="56"/>
  <c r="J82" i="56"/>
  <c r="K82" i="56"/>
  <c r="L82" i="56"/>
  <c r="M82" i="56"/>
  <c r="N82" i="56"/>
  <c r="O82" i="56"/>
  <c r="P82" i="56"/>
  <c r="Q82" i="56"/>
  <c r="R82" i="56"/>
  <c r="S82" i="56"/>
  <c r="T82" i="56"/>
  <c r="H82" i="56"/>
  <c r="H74" i="56"/>
  <c r="I74" i="56"/>
  <c r="J74" i="56"/>
  <c r="K74" i="56"/>
  <c r="L74" i="56"/>
  <c r="M74" i="56"/>
  <c r="N74" i="56"/>
  <c r="O74" i="56"/>
  <c r="P74" i="56"/>
  <c r="Q74" i="56"/>
  <c r="R74" i="56"/>
  <c r="S74" i="56"/>
  <c r="T74" i="56"/>
  <c r="H75" i="56"/>
  <c r="I75" i="56"/>
  <c r="J75" i="56"/>
  <c r="K75" i="56"/>
  <c r="L75" i="56"/>
  <c r="M75" i="56"/>
  <c r="N75" i="56"/>
  <c r="O75" i="56"/>
  <c r="P75" i="56"/>
  <c r="Q75" i="56"/>
  <c r="R75" i="56"/>
  <c r="S75" i="56"/>
  <c r="T75" i="56"/>
  <c r="H76" i="56"/>
  <c r="I76" i="56"/>
  <c r="J76" i="56"/>
  <c r="K76" i="56"/>
  <c r="L76" i="56"/>
  <c r="M76" i="56"/>
  <c r="N76" i="56"/>
  <c r="O76" i="56"/>
  <c r="P76" i="56"/>
  <c r="Q76" i="56"/>
  <c r="R76" i="56"/>
  <c r="S76" i="56"/>
  <c r="T76" i="56"/>
  <c r="H77" i="56"/>
  <c r="I77" i="56"/>
  <c r="J77" i="56"/>
  <c r="K77" i="56"/>
  <c r="L77" i="56"/>
  <c r="M77" i="56"/>
  <c r="N77" i="56"/>
  <c r="O77" i="56"/>
  <c r="P77" i="56"/>
  <c r="Q77" i="56"/>
  <c r="R77" i="56"/>
  <c r="S77" i="56"/>
  <c r="T77" i="56"/>
  <c r="H78" i="56"/>
  <c r="I78" i="56"/>
  <c r="J78" i="56"/>
  <c r="K78" i="56"/>
  <c r="L78" i="56"/>
  <c r="M78" i="56"/>
  <c r="N78" i="56"/>
  <c r="O78" i="56"/>
  <c r="P78" i="56"/>
  <c r="Q78" i="56"/>
  <c r="R78" i="56"/>
  <c r="S78" i="56"/>
  <c r="T78" i="56"/>
  <c r="I73" i="56"/>
  <c r="J73" i="56"/>
  <c r="K73" i="56"/>
  <c r="L73" i="56"/>
  <c r="M73" i="56"/>
  <c r="N73" i="56"/>
  <c r="O73" i="56"/>
  <c r="P73" i="56"/>
  <c r="Q73" i="56"/>
  <c r="R73" i="56"/>
  <c r="S73" i="56"/>
  <c r="T73" i="56"/>
  <c r="H73" i="56"/>
  <c r="H63" i="56"/>
  <c r="I63" i="56"/>
  <c r="J63" i="56"/>
  <c r="K63" i="56"/>
  <c r="L63" i="56"/>
  <c r="M63" i="56"/>
  <c r="N63" i="56"/>
  <c r="O63" i="56"/>
  <c r="P63" i="56"/>
  <c r="Q63" i="56"/>
  <c r="R63" i="56"/>
  <c r="S63" i="56"/>
  <c r="T63" i="56"/>
  <c r="H64" i="56"/>
  <c r="I64" i="56"/>
  <c r="J64" i="56"/>
  <c r="K64" i="56"/>
  <c r="L64" i="56"/>
  <c r="M64" i="56"/>
  <c r="N64" i="56"/>
  <c r="O64" i="56"/>
  <c r="P64" i="56"/>
  <c r="Q64" i="56"/>
  <c r="R64" i="56"/>
  <c r="S64" i="56"/>
  <c r="T64" i="56"/>
  <c r="H65" i="56"/>
  <c r="I65" i="56"/>
  <c r="J65" i="56"/>
  <c r="K65" i="56"/>
  <c r="L65" i="56"/>
  <c r="M65" i="56"/>
  <c r="N65" i="56"/>
  <c r="O65" i="56"/>
  <c r="P65" i="56"/>
  <c r="Q65" i="56"/>
  <c r="R65" i="56"/>
  <c r="S65" i="56"/>
  <c r="T65" i="56"/>
  <c r="H66" i="56"/>
  <c r="I66" i="56"/>
  <c r="J66" i="56"/>
  <c r="K66" i="56"/>
  <c r="L66" i="56"/>
  <c r="M66" i="56"/>
  <c r="N66" i="56"/>
  <c r="O66" i="56"/>
  <c r="P66" i="56"/>
  <c r="Q66" i="56"/>
  <c r="R66" i="56"/>
  <c r="S66" i="56"/>
  <c r="T66" i="56"/>
  <c r="H67" i="56"/>
  <c r="I67" i="56"/>
  <c r="J67" i="56"/>
  <c r="K67" i="56"/>
  <c r="L67" i="56"/>
  <c r="M67" i="56"/>
  <c r="N67" i="56"/>
  <c r="O67" i="56"/>
  <c r="P67" i="56"/>
  <c r="Q67" i="56"/>
  <c r="R67" i="56"/>
  <c r="S67" i="56"/>
  <c r="T67" i="56"/>
  <c r="H68" i="56"/>
  <c r="I68" i="56"/>
  <c r="J68" i="56"/>
  <c r="K68" i="56"/>
  <c r="L68" i="56"/>
  <c r="M68" i="56"/>
  <c r="N68" i="56"/>
  <c r="O68" i="56"/>
  <c r="P68" i="56"/>
  <c r="Q68" i="56"/>
  <c r="R68" i="56"/>
  <c r="S68" i="56"/>
  <c r="T68" i="56"/>
  <c r="H69" i="56"/>
  <c r="I69" i="56"/>
  <c r="J69" i="56"/>
  <c r="K69" i="56"/>
  <c r="L69" i="56"/>
  <c r="M69" i="56"/>
  <c r="N69" i="56"/>
  <c r="O69" i="56"/>
  <c r="P69" i="56"/>
  <c r="Q69" i="56"/>
  <c r="R69" i="56"/>
  <c r="S69" i="56"/>
  <c r="T69" i="56"/>
  <c r="I62" i="56"/>
  <c r="J62" i="56"/>
  <c r="K62" i="56"/>
  <c r="L62" i="56"/>
  <c r="M62" i="56"/>
  <c r="N62" i="56"/>
  <c r="O62" i="56"/>
  <c r="P62" i="56"/>
  <c r="Q62" i="56"/>
  <c r="R62" i="56"/>
  <c r="S62" i="56"/>
  <c r="T62" i="56"/>
  <c r="H62" i="56"/>
  <c r="H52" i="56"/>
  <c r="I52" i="56"/>
  <c r="J52" i="56"/>
  <c r="K52" i="56"/>
  <c r="L52" i="56"/>
  <c r="M52" i="56"/>
  <c r="N52" i="56"/>
  <c r="O52" i="56"/>
  <c r="P52" i="56"/>
  <c r="Q52" i="56"/>
  <c r="R52" i="56"/>
  <c r="S52" i="56"/>
  <c r="T52" i="56"/>
  <c r="H53" i="56"/>
  <c r="I53" i="56"/>
  <c r="J53" i="56"/>
  <c r="K53" i="56"/>
  <c r="L53" i="56"/>
  <c r="M53" i="56"/>
  <c r="N53" i="56"/>
  <c r="O53" i="56"/>
  <c r="P53" i="56"/>
  <c r="Q53" i="56"/>
  <c r="R53" i="56"/>
  <c r="S53" i="56"/>
  <c r="T53" i="56"/>
  <c r="H54" i="56"/>
  <c r="I54" i="56"/>
  <c r="J54" i="56"/>
  <c r="K54" i="56"/>
  <c r="L54" i="56"/>
  <c r="M54" i="56"/>
  <c r="N54" i="56"/>
  <c r="O54" i="56"/>
  <c r="P54" i="56"/>
  <c r="Q54" i="56"/>
  <c r="R54" i="56"/>
  <c r="S54" i="56"/>
  <c r="T54" i="56"/>
  <c r="H55" i="56"/>
  <c r="I55" i="56"/>
  <c r="J55" i="56"/>
  <c r="K55" i="56"/>
  <c r="L55" i="56"/>
  <c r="M55" i="56"/>
  <c r="N55" i="56"/>
  <c r="O55" i="56"/>
  <c r="P55" i="56"/>
  <c r="Q55" i="56"/>
  <c r="R55" i="56"/>
  <c r="S55" i="56"/>
  <c r="T55" i="56"/>
  <c r="H56" i="56"/>
  <c r="I56" i="56"/>
  <c r="H57" i="56"/>
  <c r="I57" i="56"/>
  <c r="J57" i="56"/>
  <c r="K57" i="56"/>
  <c r="L57" i="56"/>
  <c r="M57" i="56"/>
  <c r="N57" i="56"/>
  <c r="O57" i="56"/>
  <c r="P57" i="56"/>
  <c r="Q57" i="56"/>
  <c r="R57" i="56"/>
  <c r="S57" i="56"/>
  <c r="T57" i="56"/>
  <c r="H58" i="56"/>
  <c r="I58" i="56"/>
  <c r="J58" i="56"/>
  <c r="K58" i="56"/>
  <c r="L58" i="56"/>
  <c r="M58" i="56"/>
  <c r="N58" i="56"/>
  <c r="O58" i="56"/>
  <c r="P58" i="56"/>
  <c r="Q58" i="56"/>
  <c r="R58" i="56"/>
  <c r="S58" i="56"/>
  <c r="T58" i="56"/>
  <c r="I51" i="56"/>
  <c r="J51" i="56"/>
  <c r="K51" i="56"/>
  <c r="L51" i="56"/>
  <c r="M51" i="56"/>
  <c r="N51" i="56"/>
  <c r="O51" i="56"/>
  <c r="P51" i="56"/>
  <c r="Q51" i="56"/>
  <c r="R51" i="56"/>
  <c r="S51" i="56"/>
  <c r="T51" i="56"/>
  <c r="H51" i="56"/>
  <c r="H45" i="56"/>
  <c r="I45" i="56"/>
  <c r="J45" i="56"/>
  <c r="K45" i="56"/>
  <c r="L45" i="56"/>
  <c r="M45" i="56"/>
  <c r="N45" i="56"/>
  <c r="O45" i="56"/>
  <c r="P45" i="56"/>
  <c r="Q45" i="56"/>
  <c r="R45" i="56"/>
  <c r="S45" i="56"/>
  <c r="T45" i="56"/>
  <c r="H46" i="56"/>
  <c r="I46" i="56"/>
  <c r="J46" i="56"/>
  <c r="K46" i="56"/>
  <c r="L46" i="56"/>
  <c r="M46" i="56"/>
  <c r="N46" i="56"/>
  <c r="O46" i="56"/>
  <c r="P46" i="56"/>
  <c r="Q46" i="56"/>
  <c r="R46" i="56"/>
  <c r="S46" i="56"/>
  <c r="T46" i="56"/>
  <c r="H47" i="56"/>
  <c r="I47" i="56"/>
  <c r="J47" i="56"/>
  <c r="K47" i="56"/>
  <c r="L47" i="56"/>
  <c r="M47" i="56"/>
  <c r="N47" i="56"/>
  <c r="O47" i="56"/>
  <c r="P47" i="56"/>
  <c r="Q47" i="56"/>
  <c r="R47" i="56"/>
  <c r="S47" i="56"/>
  <c r="T47" i="56"/>
  <c r="I44" i="56"/>
  <c r="J44" i="56"/>
  <c r="K44" i="56"/>
  <c r="L44" i="56"/>
  <c r="M44" i="56"/>
  <c r="N44" i="56"/>
  <c r="O44" i="56"/>
  <c r="P44" i="56"/>
  <c r="Q44" i="56"/>
  <c r="R44" i="56"/>
  <c r="S44" i="56"/>
  <c r="T44" i="56"/>
  <c r="H44" i="56"/>
  <c r="H30" i="56"/>
  <c r="I30" i="56"/>
  <c r="J30" i="56"/>
  <c r="K30" i="56"/>
  <c r="L30" i="56"/>
  <c r="M30" i="56"/>
  <c r="N30" i="56"/>
  <c r="O30" i="56"/>
  <c r="P30" i="56"/>
  <c r="Q30" i="56"/>
  <c r="R30" i="56"/>
  <c r="S30" i="56"/>
  <c r="T30" i="56"/>
  <c r="H31" i="56"/>
  <c r="I31" i="56"/>
  <c r="J31" i="56"/>
  <c r="K31" i="56"/>
  <c r="L31" i="56"/>
  <c r="M31" i="56"/>
  <c r="N31" i="56"/>
  <c r="O31" i="56"/>
  <c r="P31" i="56"/>
  <c r="Q31" i="56"/>
  <c r="R31" i="56"/>
  <c r="S31" i="56"/>
  <c r="T31" i="56"/>
  <c r="H32" i="56"/>
  <c r="I32" i="56"/>
  <c r="J32" i="56"/>
  <c r="K32" i="56"/>
  <c r="L32" i="56"/>
  <c r="M32" i="56"/>
  <c r="N32" i="56"/>
  <c r="O32" i="56"/>
  <c r="P32" i="56"/>
  <c r="Q32" i="56"/>
  <c r="R32" i="56"/>
  <c r="S32" i="56"/>
  <c r="T32" i="56"/>
  <c r="H33" i="56"/>
  <c r="I33" i="56"/>
  <c r="J33" i="56"/>
  <c r="K33" i="56"/>
  <c r="L33" i="56"/>
  <c r="M33" i="56"/>
  <c r="N33" i="56"/>
  <c r="O33" i="56"/>
  <c r="P33" i="56"/>
  <c r="Q33" i="56"/>
  <c r="R33" i="56"/>
  <c r="S33" i="56"/>
  <c r="T33" i="56"/>
  <c r="H34" i="56"/>
  <c r="I34" i="56"/>
  <c r="J34" i="56"/>
  <c r="K34" i="56"/>
  <c r="L34" i="56"/>
  <c r="M34" i="56"/>
  <c r="N34" i="56"/>
  <c r="O34" i="56"/>
  <c r="P34" i="56"/>
  <c r="Q34" i="56"/>
  <c r="R34" i="56"/>
  <c r="S34" i="56"/>
  <c r="T34" i="56"/>
  <c r="H35" i="56"/>
  <c r="I35" i="56"/>
  <c r="J35" i="56"/>
  <c r="K35" i="56"/>
  <c r="L35" i="56"/>
  <c r="M35" i="56"/>
  <c r="N35" i="56"/>
  <c r="O35" i="56"/>
  <c r="P35" i="56"/>
  <c r="Q35" i="56"/>
  <c r="R35" i="56"/>
  <c r="S35" i="56"/>
  <c r="T35" i="56"/>
  <c r="H36" i="56"/>
  <c r="I36" i="56"/>
  <c r="J36" i="56"/>
  <c r="K36" i="56"/>
  <c r="M36" i="56"/>
  <c r="N36" i="56"/>
  <c r="O36" i="56"/>
  <c r="P36" i="56"/>
  <c r="Q36" i="56"/>
  <c r="R36" i="56"/>
  <c r="S36" i="56"/>
  <c r="T36" i="56"/>
  <c r="H37" i="56"/>
  <c r="I37" i="56"/>
  <c r="J37" i="56"/>
  <c r="K37" i="56"/>
  <c r="L37" i="56"/>
  <c r="M37" i="56"/>
  <c r="N37" i="56"/>
  <c r="O37" i="56"/>
  <c r="P37" i="56"/>
  <c r="Q37" i="56"/>
  <c r="R37" i="56"/>
  <c r="S37" i="56"/>
  <c r="T37" i="56"/>
  <c r="H38" i="56"/>
  <c r="I38" i="56"/>
  <c r="J38" i="56"/>
  <c r="K38" i="56"/>
  <c r="L38" i="56"/>
  <c r="M38" i="56"/>
  <c r="N38" i="56"/>
  <c r="O38" i="56"/>
  <c r="P38" i="56"/>
  <c r="Q38" i="56"/>
  <c r="R38" i="56"/>
  <c r="S38" i="56"/>
  <c r="T38" i="56"/>
  <c r="H39" i="56"/>
  <c r="I39" i="56"/>
  <c r="J39" i="56"/>
  <c r="K39" i="56"/>
  <c r="L39" i="56"/>
  <c r="M39" i="56"/>
  <c r="N39" i="56"/>
  <c r="O39" i="56"/>
  <c r="P39" i="56"/>
  <c r="Q39" i="56"/>
  <c r="R39" i="56"/>
  <c r="S39" i="56"/>
  <c r="T39" i="56"/>
  <c r="H40" i="56"/>
  <c r="I40" i="56"/>
  <c r="J40" i="56"/>
  <c r="L40" i="56"/>
  <c r="M40" i="56"/>
  <c r="N40" i="56"/>
  <c r="O40" i="56"/>
  <c r="P40" i="56"/>
  <c r="Q40" i="56"/>
  <c r="R40" i="56"/>
  <c r="S40" i="56"/>
  <c r="T40" i="56"/>
  <c r="I29" i="56"/>
  <c r="J29" i="56"/>
  <c r="K29" i="56"/>
  <c r="L29" i="56"/>
  <c r="M29" i="56"/>
  <c r="N29" i="56"/>
  <c r="O29" i="56"/>
  <c r="P29" i="56"/>
  <c r="Q29" i="56"/>
  <c r="R29" i="56"/>
  <c r="S29" i="56"/>
  <c r="T29" i="56"/>
  <c r="H29" i="56"/>
  <c r="H19" i="56"/>
  <c r="I19" i="56"/>
  <c r="K19" i="56"/>
  <c r="L19" i="56"/>
  <c r="M19" i="56"/>
  <c r="N19" i="56"/>
  <c r="O19" i="56"/>
  <c r="P19" i="56"/>
  <c r="Q19" i="56"/>
  <c r="R19" i="56"/>
  <c r="S19" i="56"/>
  <c r="T19" i="56"/>
  <c r="H20" i="56"/>
  <c r="I20" i="56"/>
  <c r="J20" i="56"/>
  <c r="K20" i="56"/>
  <c r="L20" i="56"/>
  <c r="M20" i="56"/>
  <c r="N20" i="56"/>
  <c r="O20" i="56"/>
  <c r="P20" i="56"/>
  <c r="Q20" i="56"/>
  <c r="R20" i="56"/>
  <c r="S20" i="56"/>
  <c r="T20" i="56"/>
  <c r="H21" i="56"/>
  <c r="K21" i="56"/>
  <c r="M21" i="56"/>
  <c r="N21" i="56"/>
  <c r="O21" i="56"/>
  <c r="P21" i="56"/>
  <c r="Q21" i="56"/>
  <c r="R21" i="56"/>
  <c r="S21" i="56"/>
  <c r="T21" i="56"/>
  <c r="H22" i="56"/>
  <c r="I22" i="56"/>
  <c r="J22" i="56"/>
  <c r="K22" i="56"/>
  <c r="L22" i="56"/>
  <c r="M22" i="56"/>
  <c r="N22" i="56"/>
  <c r="O22" i="56"/>
  <c r="P22" i="56"/>
  <c r="Q22" i="56"/>
  <c r="R22" i="56"/>
  <c r="S22" i="56"/>
  <c r="T22" i="56"/>
  <c r="H23" i="56"/>
  <c r="J23" i="56"/>
  <c r="K23" i="56"/>
  <c r="M23" i="56"/>
  <c r="N23" i="56"/>
  <c r="O23" i="56"/>
  <c r="P23" i="56"/>
  <c r="Q23" i="56"/>
  <c r="R23" i="56"/>
  <c r="S23" i="56"/>
  <c r="T23" i="56"/>
  <c r="H24" i="56"/>
  <c r="I24" i="56"/>
  <c r="J24" i="56"/>
  <c r="K24" i="56"/>
  <c r="L24" i="56"/>
  <c r="M24" i="56"/>
  <c r="N24" i="56"/>
  <c r="O24" i="56"/>
  <c r="P24" i="56"/>
  <c r="Q24" i="56"/>
  <c r="R24" i="56"/>
  <c r="S24" i="56"/>
  <c r="T24" i="56"/>
  <c r="H25" i="56"/>
  <c r="J25" i="56"/>
  <c r="L25" i="56"/>
  <c r="M25" i="56"/>
  <c r="N25" i="56"/>
  <c r="O25" i="56"/>
  <c r="P25" i="56"/>
  <c r="Q25" i="56"/>
  <c r="R25" i="56"/>
  <c r="S25" i="56"/>
  <c r="T25" i="56"/>
  <c r="I18" i="56"/>
  <c r="J18" i="56"/>
  <c r="K18" i="56"/>
  <c r="L18" i="56"/>
  <c r="M18" i="56"/>
  <c r="N18" i="56"/>
  <c r="O18" i="56"/>
  <c r="P18" i="56"/>
  <c r="Q18" i="56"/>
  <c r="R18" i="56"/>
  <c r="S18" i="56"/>
  <c r="T18" i="56"/>
  <c r="H18" i="56"/>
  <c r="H6" i="56"/>
  <c r="I6" i="56"/>
  <c r="J6" i="56"/>
  <c r="K6" i="56"/>
  <c r="L6" i="56"/>
  <c r="M6" i="56"/>
  <c r="N6" i="56"/>
  <c r="O6" i="56"/>
  <c r="P6" i="56"/>
  <c r="Q6" i="56"/>
  <c r="R6" i="56"/>
  <c r="S6" i="56"/>
  <c r="T6" i="56"/>
  <c r="H7" i="56"/>
  <c r="I7" i="56"/>
  <c r="J7" i="56"/>
  <c r="K7" i="56"/>
  <c r="L7" i="56"/>
  <c r="M7" i="56"/>
  <c r="N7" i="56"/>
  <c r="O7" i="56"/>
  <c r="P7" i="56"/>
  <c r="Q7" i="56"/>
  <c r="R7" i="56"/>
  <c r="S7" i="56"/>
  <c r="T7" i="56"/>
  <c r="H8" i="56"/>
  <c r="I8" i="56"/>
  <c r="J8" i="56"/>
  <c r="K8" i="56"/>
  <c r="L8" i="56"/>
  <c r="M8" i="56"/>
  <c r="N8" i="56"/>
  <c r="O8" i="56"/>
  <c r="P8" i="56"/>
  <c r="Q8" i="56"/>
  <c r="R8" i="56"/>
  <c r="S8" i="56"/>
  <c r="T8" i="56"/>
  <c r="H9" i="56"/>
  <c r="I9" i="56"/>
  <c r="J9" i="56"/>
  <c r="K9" i="56"/>
  <c r="L9" i="56"/>
  <c r="M9" i="56"/>
  <c r="N9" i="56"/>
  <c r="O9" i="56"/>
  <c r="P9" i="56"/>
  <c r="Q9" i="56"/>
  <c r="R9" i="56"/>
  <c r="S9" i="56"/>
  <c r="T9" i="56"/>
  <c r="H10" i="56"/>
  <c r="I10" i="56"/>
  <c r="J10" i="56"/>
  <c r="K10" i="56"/>
  <c r="L10" i="56"/>
  <c r="M10" i="56"/>
  <c r="N10" i="56"/>
  <c r="O10" i="56"/>
  <c r="P10" i="56"/>
  <c r="Q10" i="56"/>
  <c r="R10" i="56"/>
  <c r="S10" i="56"/>
  <c r="T10" i="56"/>
  <c r="H11" i="56"/>
  <c r="I11" i="56"/>
  <c r="J11" i="56"/>
  <c r="K11" i="56"/>
  <c r="L11" i="56"/>
  <c r="M11" i="56"/>
  <c r="N11" i="56"/>
  <c r="O11" i="56"/>
  <c r="P11" i="56"/>
  <c r="Q11" i="56"/>
  <c r="R11" i="56"/>
  <c r="S11" i="56"/>
  <c r="T11" i="56"/>
  <c r="H12" i="56"/>
  <c r="I12" i="56"/>
  <c r="J12" i="56"/>
  <c r="K12" i="56"/>
  <c r="L12" i="56"/>
  <c r="M12" i="56"/>
  <c r="N12" i="56"/>
  <c r="O12" i="56"/>
  <c r="P12" i="56"/>
  <c r="Q12" i="56"/>
  <c r="R12" i="56"/>
  <c r="S12" i="56"/>
  <c r="T12" i="56"/>
  <c r="H13" i="56"/>
  <c r="I13" i="56"/>
  <c r="J13" i="56"/>
  <c r="K13" i="56"/>
  <c r="L13" i="56"/>
  <c r="M13" i="56"/>
  <c r="N13" i="56"/>
  <c r="O13" i="56"/>
  <c r="P13" i="56"/>
  <c r="Q13" i="56"/>
  <c r="R13" i="56"/>
  <c r="S13" i="56"/>
  <c r="T13" i="56"/>
  <c r="H14" i="56"/>
  <c r="I14" i="56"/>
  <c r="J14" i="56"/>
  <c r="K14" i="56"/>
  <c r="L14" i="56"/>
  <c r="M14" i="56"/>
  <c r="N14" i="56"/>
  <c r="O14" i="56"/>
  <c r="P14" i="56"/>
  <c r="Q14" i="56"/>
  <c r="R14" i="56"/>
  <c r="S14" i="56"/>
  <c r="T14" i="56"/>
  <c r="I5" i="56"/>
  <c r="J5" i="56"/>
  <c r="K5" i="56"/>
  <c r="L5" i="56"/>
  <c r="M5" i="56"/>
  <c r="N5" i="56"/>
  <c r="O5" i="56"/>
  <c r="P5" i="56"/>
  <c r="Q5" i="56"/>
  <c r="R5" i="56"/>
  <c r="S5" i="56"/>
  <c r="T5" i="56"/>
  <c r="H5" i="56"/>
  <c r="A144" i="56"/>
  <c r="B144" i="56"/>
  <c r="C144" i="56"/>
  <c r="D144" i="56"/>
  <c r="E144" i="56"/>
  <c r="F144" i="56"/>
  <c r="G144" i="56"/>
  <c r="A145" i="56"/>
  <c r="B145" i="56"/>
  <c r="C145" i="56"/>
  <c r="D145" i="56"/>
  <c r="E145" i="56"/>
  <c r="F145" i="56"/>
  <c r="G145" i="56"/>
  <c r="A146" i="56"/>
  <c r="B146" i="56"/>
  <c r="C146" i="56"/>
  <c r="D146" i="56"/>
  <c r="E146" i="56"/>
  <c r="F146" i="56"/>
  <c r="G146" i="56"/>
  <c r="A147" i="56"/>
  <c r="B147" i="56"/>
  <c r="C147" i="56"/>
  <c r="D147" i="56"/>
  <c r="E147" i="56"/>
  <c r="F147" i="56"/>
  <c r="G147" i="56"/>
  <c r="A148" i="56"/>
  <c r="B148" i="56"/>
  <c r="C148" i="56"/>
  <c r="D148" i="56"/>
  <c r="E148" i="56"/>
  <c r="F148" i="56"/>
  <c r="G148" i="56"/>
  <c r="A149" i="56"/>
  <c r="B149" i="56"/>
  <c r="C149" i="56"/>
  <c r="D149" i="56"/>
  <c r="E149" i="56"/>
  <c r="F149" i="56"/>
  <c r="G149" i="56"/>
  <c r="A150" i="56"/>
  <c r="B150" i="56"/>
  <c r="C150" i="56"/>
  <c r="E150" i="56"/>
  <c r="F150" i="56"/>
  <c r="G150" i="56"/>
  <c r="A151" i="56"/>
  <c r="B151" i="56"/>
  <c r="C151" i="56"/>
  <c r="E151" i="56"/>
  <c r="F151" i="56"/>
  <c r="G151" i="56"/>
  <c r="A152" i="56"/>
  <c r="B152" i="56"/>
  <c r="C152" i="56"/>
  <c r="D152" i="56"/>
  <c r="E152" i="56"/>
  <c r="F152" i="56"/>
  <c r="G152" i="56"/>
  <c r="A153" i="56"/>
  <c r="B153" i="56"/>
  <c r="C153" i="56"/>
  <c r="D153" i="56"/>
  <c r="E153" i="56"/>
  <c r="F153" i="56"/>
  <c r="G153" i="56"/>
  <c r="A154" i="56"/>
  <c r="B154" i="56"/>
  <c r="C154" i="56"/>
  <c r="D154" i="56"/>
  <c r="E154" i="56"/>
  <c r="F154" i="56"/>
  <c r="G154" i="56"/>
  <c r="A155" i="56"/>
  <c r="B155" i="56"/>
  <c r="C155" i="56"/>
  <c r="D155" i="56"/>
  <c r="E155" i="56"/>
  <c r="F155" i="56"/>
  <c r="G155" i="56"/>
  <c r="B142" i="56"/>
  <c r="C142" i="56"/>
  <c r="D142" i="56"/>
  <c r="E142" i="56"/>
  <c r="F142" i="56"/>
  <c r="G142" i="56"/>
  <c r="B143" i="56"/>
  <c r="C143" i="56"/>
  <c r="D143" i="56"/>
  <c r="E143" i="56"/>
  <c r="F143" i="56"/>
  <c r="G143" i="56"/>
  <c r="A143" i="56"/>
  <c r="A142" i="56"/>
  <c r="A129" i="56"/>
  <c r="B129" i="56"/>
  <c r="C129" i="56"/>
  <c r="D129" i="56"/>
  <c r="E129" i="56"/>
  <c r="F129" i="56"/>
  <c r="G129" i="56"/>
  <c r="A130" i="56"/>
  <c r="B130" i="56"/>
  <c r="C130" i="56"/>
  <c r="D130" i="56"/>
  <c r="E130" i="56"/>
  <c r="F130" i="56"/>
  <c r="G130" i="56"/>
  <c r="A131" i="56"/>
  <c r="B131" i="56"/>
  <c r="C131" i="56"/>
  <c r="D131" i="56"/>
  <c r="E131" i="56"/>
  <c r="F131" i="56"/>
  <c r="G131" i="56"/>
  <c r="A132" i="56"/>
  <c r="B132" i="56"/>
  <c r="C132" i="56"/>
  <c r="D132" i="56"/>
  <c r="E132" i="56"/>
  <c r="F132" i="56"/>
  <c r="G132" i="56"/>
  <c r="A133" i="56"/>
  <c r="B133" i="56"/>
  <c r="C133" i="56"/>
  <c r="D133" i="56"/>
  <c r="E133" i="56"/>
  <c r="F133" i="56"/>
  <c r="G133" i="56"/>
  <c r="A134" i="56"/>
  <c r="B134" i="56"/>
  <c r="C134" i="56"/>
  <c r="D134" i="56"/>
  <c r="E134" i="56"/>
  <c r="F134" i="56"/>
  <c r="G134" i="56"/>
  <c r="A135" i="56"/>
  <c r="B135" i="56"/>
  <c r="C135" i="56"/>
  <c r="D135" i="56"/>
  <c r="E135" i="56"/>
  <c r="F135" i="56"/>
  <c r="G135" i="56"/>
  <c r="A136" i="56"/>
  <c r="B136" i="56"/>
  <c r="C136" i="56"/>
  <c r="D136" i="56"/>
  <c r="E136" i="56"/>
  <c r="F136" i="56"/>
  <c r="G136" i="56"/>
  <c r="A137" i="56"/>
  <c r="B137" i="56"/>
  <c r="C137" i="56"/>
  <c r="D137" i="56"/>
  <c r="E137" i="56"/>
  <c r="F137" i="56"/>
  <c r="G137" i="56"/>
  <c r="A138" i="56"/>
  <c r="B138" i="56"/>
  <c r="C138" i="56"/>
  <c r="D138" i="56"/>
  <c r="E138" i="56"/>
  <c r="F138" i="56"/>
  <c r="G138" i="56"/>
  <c r="B127" i="56"/>
  <c r="C127" i="56"/>
  <c r="E127" i="56"/>
  <c r="F127" i="56"/>
  <c r="G127" i="56"/>
  <c r="B128" i="56"/>
  <c r="C128" i="56"/>
  <c r="E128" i="56"/>
  <c r="F128" i="56"/>
  <c r="G128" i="56"/>
  <c r="A128" i="56"/>
  <c r="A127" i="56"/>
  <c r="A114" i="56"/>
  <c r="B114" i="56"/>
  <c r="C114" i="56"/>
  <c r="D114" i="56"/>
  <c r="E114" i="56"/>
  <c r="F114" i="56"/>
  <c r="G114" i="56"/>
  <c r="A115" i="56"/>
  <c r="B115" i="56"/>
  <c r="C115" i="56"/>
  <c r="D115" i="56"/>
  <c r="E115" i="56"/>
  <c r="F115" i="56"/>
  <c r="G115" i="56"/>
  <c r="A116" i="56"/>
  <c r="B116" i="56"/>
  <c r="C116" i="56"/>
  <c r="D116" i="56"/>
  <c r="E116" i="56"/>
  <c r="F116" i="56"/>
  <c r="G116" i="56"/>
  <c r="A117" i="56"/>
  <c r="B117" i="56"/>
  <c r="C117" i="56"/>
  <c r="D117" i="56"/>
  <c r="E117" i="56"/>
  <c r="F117" i="56"/>
  <c r="G117" i="56"/>
  <c r="A118" i="56"/>
  <c r="B118" i="56"/>
  <c r="C118" i="56"/>
  <c r="D118" i="56"/>
  <c r="E118" i="56"/>
  <c r="F118" i="56"/>
  <c r="G118" i="56"/>
  <c r="A119" i="56"/>
  <c r="B119" i="56"/>
  <c r="C119" i="56"/>
  <c r="D119" i="56"/>
  <c r="E119" i="56"/>
  <c r="F119" i="56"/>
  <c r="G119" i="56"/>
  <c r="A120" i="56"/>
  <c r="B120" i="56"/>
  <c r="C120" i="56"/>
  <c r="D120" i="56"/>
  <c r="E120" i="56"/>
  <c r="F120" i="56"/>
  <c r="G120" i="56"/>
  <c r="A121" i="56"/>
  <c r="B121" i="56"/>
  <c r="C121" i="56"/>
  <c r="D121" i="56"/>
  <c r="E121" i="56"/>
  <c r="F121" i="56"/>
  <c r="G121" i="56"/>
  <c r="A122" i="56"/>
  <c r="B122" i="56"/>
  <c r="C122" i="56"/>
  <c r="D122" i="56"/>
  <c r="E122" i="56"/>
  <c r="F122" i="56"/>
  <c r="G122" i="56"/>
  <c r="A123" i="56"/>
  <c r="B123" i="56"/>
  <c r="C123" i="56"/>
  <c r="D123" i="56"/>
  <c r="E123" i="56"/>
  <c r="F123" i="56"/>
  <c r="G123" i="56"/>
  <c r="B112" i="56"/>
  <c r="C112" i="56"/>
  <c r="D112" i="56"/>
  <c r="E112" i="56"/>
  <c r="F112" i="56"/>
  <c r="G112" i="56"/>
  <c r="B113" i="56"/>
  <c r="C113" i="56"/>
  <c r="D113" i="56"/>
  <c r="E113" i="56"/>
  <c r="F113" i="56"/>
  <c r="G113" i="56"/>
  <c r="A113" i="56"/>
  <c r="A112" i="56"/>
  <c r="A101" i="56"/>
  <c r="B101" i="56"/>
  <c r="C101" i="56"/>
  <c r="D101" i="56"/>
  <c r="E101" i="56"/>
  <c r="F101" i="56"/>
  <c r="G101" i="56"/>
  <c r="A102" i="56"/>
  <c r="B102" i="56"/>
  <c r="C102" i="56"/>
  <c r="D102" i="56"/>
  <c r="E102" i="56"/>
  <c r="F102" i="56"/>
  <c r="G102" i="56"/>
  <c r="A103" i="56"/>
  <c r="B103" i="56"/>
  <c r="C103" i="56"/>
  <c r="D103" i="56"/>
  <c r="E103" i="56"/>
  <c r="F103" i="56"/>
  <c r="G103" i="56"/>
  <c r="A104" i="56"/>
  <c r="B104" i="56"/>
  <c r="C104" i="56"/>
  <c r="D104" i="56"/>
  <c r="E104" i="56"/>
  <c r="F104" i="56"/>
  <c r="G104" i="56"/>
  <c r="A105" i="56"/>
  <c r="B105" i="56"/>
  <c r="C105" i="56"/>
  <c r="D105" i="56"/>
  <c r="E105" i="56"/>
  <c r="F105" i="56"/>
  <c r="G105" i="56"/>
  <c r="A106" i="56"/>
  <c r="B106" i="56"/>
  <c r="C106" i="56"/>
  <c r="D106" i="56"/>
  <c r="E106" i="56"/>
  <c r="F106" i="56"/>
  <c r="G106" i="56"/>
  <c r="A107" i="56"/>
  <c r="B107" i="56"/>
  <c r="C107" i="56"/>
  <c r="D107" i="56"/>
  <c r="E107" i="56"/>
  <c r="F107" i="56"/>
  <c r="G107" i="56"/>
  <c r="A108" i="56"/>
  <c r="B108" i="56"/>
  <c r="C108" i="56"/>
  <c r="D108" i="56"/>
  <c r="E108" i="56"/>
  <c r="F108" i="56"/>
  <c r="G108" i="56"/>
  <c r="B99" i="56"/>
  <c r="C99" i="56"/>
  <c r="D99" i="56"/>
  <c r="E99" i="56"/>
  <c r="F99" i="56"/>
  <c r="G99" i="56"/>
  <c r="B100" i="56"/>
  <c r="C100" i="56"/>
  <c r="D100" i="56"/>
  <c r="E100" i="56"/>
  <c r="F100" i="56"/>
  <c r="G100" i="56"/>
  <c r="A100" i="56"/>
  <c r="A99" i="56"/>
  <c r="A84" i="56"/>
  <c r="B84" i="56"/>
  <c r="C84" i="56"/>
  <c r="D84" i="56"/>
  <c r="E84" i="56"/>
  <c r="F84" i="56"/>
  <c r="G84" i="56"/>
  <c r="A85" i="56"/>
  <c r="B85" i="56"/>
  <c r="C85" i="56"/>
  <c r="D85" i="56"/>
  <c r="E85" i="56"/>
  <c r="F85" i="56"/>
  <c r="G85" i="56"/>
  <c r="A86" i="56"/>
  <c r="B86" i="56"/>
  <c r="C86" i="56"/>
  <c r="D86" i="56"/>
  <c r="E86" i="56"/>
  <c r="F86" i="56"/>
  <c r="G86" i="56"/>
  <c r="A87" i="56"/>
  <c r="B87" i="56"/>
  <c r="C87" i="56"/>
  <c r="D87" i="56"/>
  <c r="E87" i="56"/>
  <c r="F87" i="56"/>
  <c r="G87" i="56"/>
  <c r="A88" i="56"/>
  <c r="B88" i="56"/>
  <c r="C88" i="56"/>
  <c r="D88" i="56"/>
  <c r="E88" i="56"/>
  <c r="F88" i="56"/>
  <c r="G88" i="56"/>
  <c r="A89" i="56"/>
  <c r="B89" i="56"/>
  <c r="C89" i="56"/>
  <c r="D89" i="56"/>
  <c r="E89" i="56"/>
  <c r="F89" i="56"/>
  <c r="G89" i="56"/>
  <c r="A90" i="56"/>
  <c r="B90" i="56"/>
  <c r="C90" i="56"/>
  <c r="D90" i="56"/>
  <c r="E90" i="56"/>
  <c r="F90" i="56"/>
  <c r="G90" i="56"/>
  <c r="A91" i="56"/>
  <c r="B91" i="56"/>
  <c r="C91" i="56"/>
  <c r="D91" i="56"/>
  <c r="E91" i="56"/>
  <c r="F91" i="56"/>
  <c r="G91" i="56"/>
  <c r="A92" i="56"/>
  <c r="B92" i="56"/>
  <c r="C92" i="56"/>
  <c r="D92" i="56"/>
  <c r="E92" i="56"/>
  <c r="F92" i="56"/>
  <c r="G92" i="56"/>
  <c r="A93" i="56"/>
  <c r="B93" i="56"/>
  <c r="C93" i="56"/>
  <c r="D93" i="56"/>
  <c r="E93" i="56"/>
  <c r="F93" i="56"/>
  <c r="G93" i="56"/>
  <c r="A94" i="56"/>
  <c r="B94" i="56"/>
  <c r="C94" i="56"/>
  <c r="D94" i="56"/>
  <c r="E94" i="56"/>
  <c r="F94" i="56"/>
  <c r="G94" i="56"/>
  <c r="A95" i="56"/>
  <c r="B95" i="56"/>
  <c r="C95" i="56"/>
  <c r="D95" i="56"/>
  <c r="E95" i="56"/>
  <c r="F95" i="56"/>
  <c r="G95" i="56"/>
  <c r="B82" i="56"/>
  <c r="C82" i="56"/>
  <c r="D82" i="56"/>
  <c r="E82" i="56"/>
  <c r="F82" i="56"/>
  <c r="G82" i="56"/>
  <c r="B83" i="56"/>
  <c r="C83" i="56"/>
  <c r="D83" i="56"/>
  <c r="E83" i="56"/>
  <c r="F83" i="56"/>
  <c r="G83" i="56"/>
  <c r="A83" i="56"/>
  <c r="A82" i="56"/>
  <c r="A75" i="56"/>
  <c r="B75" i="56"/>
  <c r="C75" i="56"/>
  <c r="D75" i="56"/>
  <c r="E75" i="56"/>
  <c r="F75" i="56"/>
  <c r="G75" i="56"/>
  <c r="A76" i="56"/>
  <c r="B76" i="56"/>
  <c r="C76" i="56"/>
  <c r="D76" i="56"/>
  <c r="E76" i="56"/>
  <c r="F76" i="56"/>
  <c r="G76" i="56"/>
  <c r="A77" i="56"/>
  <c r="B77" i="56"/>
  <c r="C77" i="56"/>
  <c r="D77" i="56"/>
  <c r="E77" i="56"/>
  <c r="F77" i="56"/>
  <c r="G77" i="56"/>
  <c r="A78" i="56"/>
  <c r="B78" i="56"/>
  <c r="C78" i="56"/>
  <c r="D78" i="56"/>
  <c r="E78" i="56"/>
  <c r="F78" i="56"/>
  <c r="G78" i="56"/>
  <c r="B73" i="56"/>
  <c r="C73" i="56"/>
  <c r="D73" i="56"/>
  <c r="E73" i="56"/>
  <c r="F73" i="56"/>
  <c r="G73" i="56"/>
  <c r="B74" i="56"/>
  <c r="C74" i="56"/>
  <c r="D74" i="56"/>
  <c r="E74" i="56"/>
  <c r="F74" i="56"/>
  <c r="G74" i="56"/>
  <c r="A74" i="56"/>
  <c r="A73" i="56"/>
  <c r="A64" i="56"/>
  <c r="B64" i="56"/>
  <c r="C64" i="56"/>
  <c r="D64" i="56"/>
  <c r="E64" i="56"/>
  <c r="F64" i="56"/>
  <c r="G64" i="56"/>
  <c r="A65" i="56"/>
  <c r="B65" i="56"/>
  <c r="C65" i="56"/>
  <c r="D65" i="56"/>
  <c r="E65" i="56"/>
  <c r="F65" i="56"/>
  <c r="G65" i="56"/>
  <c r="A66" i="56"/>
  <c r="B66" i="56"/>
  <c r="C66" i="56"/>
  <c r="D66" i="56"/>
  <c r="E66" i="56"/>
  <c r="F66" i="56"/>
  <c r="G66" i="56"/>
  <c r="A67" i="56"/>
  <c r="B67" i="56"/>
  <c r="C67" i="56"/>
  <c r="D67" i="56"/>
  <c r="E67" i="56"/>
  <c r="F67" i="56"/>
  <c r="G67" i="56"/>
  <c r="A68" i="56"/>
  <c r="B68" i="56"/>
  <c r="C68" i="56"/>
  <c r="D68" i="56"/>
  <c r="E68" i="56"/>
  <c r="F68" i="56"/>
  <c r="G68" i="56"/>
  <c r="A69" i="56"/>
  <c r="B69" i="56"/>
  <c r="C69" i="56"/>
  <c r="D69" i="56"/>
  <c r="E69" i="56"/>
  <c r="F69" i="56"/>
  <c r="G69" i="56"/>
  <c r="B5" i="56"/>
  <c r="C5" i="56"/>
  <c r="D5" i="56"/>
  <c r="E5" i="56"/>
  <c r="F5" i="56"/>
  <c r="G5" i="56"/>
  <c r="B6" i="56"/>
  <c r="C6" i="56"/>
  <c r="D6" i="56"/>
  <c r="E6" i="56"/>
  <c r="F6" i="56"/>
  <c r="G6" i="56"/>
  <c r="B62" i="56"/>
  <c r="C62" i="56"/>
  <c r="D62" i="56"/>
  <c r="E62" i="56"/>
  <c r="F62" i="56"/>
  <c r="G62" i="56"/>
  <c r="B63" i="56"/>
  <c r="C63" i="56"/>
  <c r="D63" i="56"/>
  <c r="E63" i="56"/>
  <c r="F63" i="56"/>
  <c r="G63" i="56"/>
  <c r="A63" i="56"/>
  <c r="A62" i="56"/>
  <c r="B58" i="56"/>
  <c r="C58" i="56"/>
  <c r="D58" i="56"/>
  <c r="E58" i="56"/>
  <c r="F58" i="56"/>
  <c r="G58" i="56"/>
  <c r="A58" i="56"/>
  <c r="B57" i="56"/>
  <c r="C57" i="56"/>
  <c r="D57" i="56"/>
  <c r="E57" i="56"/>
  <c r="F57" i="56"/>
  <c r="G57" i="56"/>
  <c r="A57" i="56"/>
  <c r="A53" i="56"/>
  <c r="B53" i="56"/>
  <c r="C53" i="56"/>
  <c r="D53" i="56"/>
  <c r="E53" i="56"/>
  <c r="F53" i="56"/>
  <c r="G53" i="56"/>
  <c r="A54" i="56"/>
  <c r="B54" i="56"/>
  <c r="C54" i="56"/>
  <c r="D54" i="56"/>
  <c r="E54" i="56"/>
  <c r="F54" i="56"/>
  <c r="G54" i="56"/>
  <c r="A55" i="56"/>
  <c r="B55" i="56"/>
  <c r="C55" i="56"/>
  <c r="D55" i="56"/>
  <c r="E55" i="56"/>
  <c r="F55" i="56"/>
  <c r="G55" i="56"/>
  <c r="A56" i="56"/>
  <c r="B56" i="56"/>
  <c r="C56" i="56"/>
  <c r="D56" i="56"/>
  <c r="E56" i="56"/>
  <c r="F56" i="56"/>
  <c r="G56" i="56"/>
  <c r="B51" i="56"/>
  <c r="C51" i="56"/>
  <c r="D51" i="56"/>
  <c r="E51" i="56"/>
  <c r="F51" i="56"/>
  <c r="G51" i="56"/>
  <c r="B52" i="56"/>
  <c r="C52" i="56"/>
  <c r="D52" i="56"/>
  <c r="E52" i="56"/>
  <c r="F52" i="56"/>
  <c r="G52" i="56"/>
  <c r="A52" i="56"/>
  <c r="A51" i="56"/>
  <c r="A46" i="56"/>
  <c r="B46" i="56"/>
  <c r="C46" i="56"/>
  <c r="D46" i="56"/>
  <c r="E46" i="56"/>
  <c r="F46" i="56"/>
  <c r="G46" i="56"/>
  <c r="A47" i="56"/>
  <c r="B47" i="56"/>
  <c r="C47" i="56"/>
  <c r="D47" i="56"/>
  <c r="E47" i="56"/>
  <c r="F47" i="56"/>
  <c r="G47" i="56"/>
  <c r="B44" i="56"/>
  <c r="C44" i="56"/>
  <c r="D44" i="56"/>
  <c r="E44" i="56"/>
  <c r="F44" i="56"/>
  <c r="G44" i="56"/>
  <c r="B45" i="56"/>
  <c r="C45" i="56"/>
  <c r="D45" i="56"/>
  <c r="E45" i="56"/>
  <c r="F45" i="56"/>
  <c r="G45" i="56"/>
  <c r="A45" i="56"/>
  <c r="A44" i="56"/>
  <c r="A31" i="56"/>
  <c r="B31" i="56"/>
  <c r="C31" i="56"/>
  <c r="D31" i="56"/>
  <c r="E31" i="56"/>
  <c r="F31" i="56"/>
  <c r="G31" i="56"/>
  <c r="A32" i="56"/>
  <c r="B32" i="56"/>
  <c r="C32" i="56"/>
  <c r="D32" i="56"/>
  <c r="E32" i="56"/>
  <c r="F32" i="56"/>
  <c r="G32" i="56"/>
  <c r="A33" i="56"/>
  <c r="B33" i="56"/>
  <c r="C33" i="56"/>
  <c r="D33" i="56"/>
  <c r="E33" i="56"/>
  <c r="F33" i="56"/>
  <c r="G33" i="56"/>
  <c r="A34" i="56"/>
  <c r="B34" i="56"/>
  <c r="C34" i="56"/>
  <c r="D34" i="56"/>
  <c r="E34" i="56"/>
  <c r="F34" i="56"/>
  <c r="G34" i="56"/>
  <c r="A35" i="56"/>
  <c r="B35" i="56"/>
  <c r="C35" i="56"/>
  <c r="D35" i="56"/>
  <c r="E35" i="56"/>
  <c r="F35" i="56"/>
  <c r="G35" i="56"/>
  <c r="A36" i="56"/>
  <c r="B36" i="56"/>
  <c r="C36" i="56"/>
  <c r="D36" i="56"/>
  <c r="E36" i="56"/>
  <c r="F36" i="56"/>
  <c r="G36" i="56"/>
  <c r="A37" i="56"/>
  <c r="B37" i="56"/>
  <c r="C37" i="56"/>
  <c r="D37" i="56"/>
  <c r="E37" i="56"/>
  <c r="F37" i="56"/>
  <c r="G37" i="56"/>
  <c r="A38" i="56"/>
  <c r="B38" i="56"/>
  <c r="C38" i="56"/>
  <c r="D38" i="56"/>
  <c r="E38" i="56"/>
  <c r="F38" i="56"/>
  <c r="G38" i="56"/>
  <c r="A39" i="56"/>
  <c r="B39" i="56"/>
  <c r="C39" i="56"/>
  <c r="D39" i="56"/>
  <c r="E39" i="56"/>
  <c r="F39" i="56"/>
  <c r="G39" i="56"/>
  <c r="A40" i="56"/>
  <c r="B40" i="56"/>
  <c r="C40" i="56"/>
  <c r="D40" i="56"/>
  <c r="E40" i="56"/>
  <c r="F40" i="56"/>
  <c r="G40" i="56"/>
  <c r="B29" i="56"/>
  <c r="C29" i="56"/>
  <c r="D29" i="56"/>
  <c r="E29" i="56"/>
  <c r="F29" i="56"/>
  <c r="G29" i="56"/>
  <c r="B30" i="56"/>
  <c r="C30" i="56"/>
  <c r="D30" i="56"/>
  <c r="E30" i="56"/>
  <c r="F30" i="56"/>
  <c r="G30" i="56"/>
  <c r="A30" i="56"/>
  <c r="A29" i="56"/>
  <c r="A20" i="56"/>
  <c r="B20" i="56"/>
  <c r="C20" i="56"/>
  <c r="D20" i="56"/>
  <c r="E20" i="56"/>
  <c r="F20" i="56"/>
  <c r="G20" i="56"/>
  <c r="A21" i="56"/>
  <c r="B21" i="56"/>
  <c r="C21" i="56"/>
  <c r="D21" i="56"/>
  <c r="E21" i="56"/>
  <c r="F21" i="56"/>
  <c r="G21" i="56"/>
  <c r="A22" i="56"/>
  <c r="B22" i="56"/>
  <c r="C22" i="56"/>
  <c r="D22" i="56"/>
  <c r="E22" i="56"/>
  <c r="F22" i="56"/>
  <c r="G22" i="56"/>
  <c r="A23" i="56"/>
  <c r="B23" i="56"/>
  <c r="C23" i="56"/>
  <c r="D23" i="56"/>
  <c r="E23" i="56"/>
  <c r="F23" i="56"/>
  <c r="G23" i="56"/>
  <c r="A24" i="56"/>
  <c r="B24" i="56"/>
  <c r="C24" i="56"/>
  <c r="D24" i="56"/>
  <c r="E24" i="56"/>
  <c r="F24" i="56"/>
  <c r="G24" i="56"/>
  <c r="A25" i="56"/>
  <c r="B25" i="56"/>
  <c r="C25" i="56"/>
  <c r="D25" i="56"/>
  <c r="E25" i="56"/>
  <c r="F25" i="56"/>
  <c r="G25" i="56"/>
  <c r="B18" i="56"/>
  <c r="C18" i="56"/>
  <c r="D18" i="56"/>
  <c r="E18" i="56"/>
  <c r="F18" i="56"/>
  <c r="G18" i="56"/>
  <c r="B19" i="56"/>
  <c r="C19" i="56"/>
  <c r="D19" i="56"/>
  <c r="E19" i="56"/>
  <c r="F19" i="56"/>
  <c r="G19" i="56"/>
  <c r="A19" i="56"/>
  <c r="A18" i="56"/>
  <c r="B7" i="56"/>
  <c r="C7" i="56"/>
  <c r="D7" i="56"/>
  <c r="E7" i="56"/>
  <c r="F7" i="56"/>
  <c r="G7" i="56"/>
  <c r="B8" i="56"/>
  <c r="C8" i="56"/>
  <c r="D8" i="56"/>
  <c r="E8" i="56"/>
  <c r="F8" i="56"/>
  <c r="G8" i="56"/>
  <c r="A9" i="56"/>
  <c r="B9" i="56"/>
  <c r="C9" i="56"/>
  <c r="D9" i="56"/>
  <c r="E9" i="56"/>
  <c r="F9" i="56"/>
  <c r="G9" i="56"/>
  <c r="A10" i="56"/>
  <c r="B10" i="56"/>
  <c r="C10" i="56"/>
  <c r="D10" i="56"/>
  <c r="E10" i="56"/>
  <c r="F10" i="56"/>
  <c r="G10" i="56"/>
  <c r="A11" i="56"/>
  <c r="B11" i="56"/>
  <c r="C11" i="56"/>
  <c r="D11" i="56"/>
  <c r="E11" i="56"/>
  <c r="F11" i="56"/>
  <c r="G11" i="56"/>
  <c r="A12" i="56"/>
  <c r="B12" i="56"/>
  <c r="C12" i="56"/>
  <c r="D12" i="56"/>
  <c r="E12" i="56"/>
  <c r="F12" i="56"/>
  <c r="G12" i="56"/>
  <c r="A13" i="56"/>
  <c r="B13" i="56"/>
  <c r="C13" i="56"/>
  <c r="D13" i="56"/>
  <c r="E13" i="56"/>
  <c r="F13" i="56"/>
  <c r="G13" i="56"/>
  <c r="A14" i="56"/>
  <c r="B14" i="56"/>
  <c r="C14" i="56"/>
  <c r="D14" i="56"/>
  <c r="E14" i="56"/>
  <c r="F14" i="56"/>
  <c r="G14" i="56"/>
  <c r="A7" i="56"/>
  <c r="A8" i="56"/>
  <c r="A6" i="56"/>
  <c r="A5" i="56"/>
  <c r="X8" i="50"/>
  <c r="X7" i="50"/>
  <c r="X5" i="50"/>
  <c r="X6" i="51"/>
  <c r="Y5" i="51"/>
  <c r="Z5" i="51"/>
  <c r="AA5" i="51"/>
  <c r="AB5" i="51"/>
  <c r="AC5" i="51"/>
  <c r="AD5" i="51"/>
  <c r="AE5" i="51"/>
  <c r="AF5" i="51"/>
  <c r="AG5" i="51"/>
  <c r="AH5" i="51"/>
  <c r="AI5" i="51"/>
  <c r="X5" i="51"/>
  <c r="L36" i="56"/>
  <c r="H126" i="48"/>
  <c r="G143" i="48" s="1"/>
  <c r="H122" i="48"/>
  <c r="G140" i="48" s="1"/>
  <c r="H123" i="48"/>
  <c r="H124" i="48"/>
  <c r="G142" i="48" s="1"/>
  <c r="G127" i="48"/>
  <c r="I94" i="56" l="1"/>
  <c r="J94" i="56"/>
  <c r="M94" i="56"/>
  <c r="N94" i="56"/>
  <c r="O94" i="56"/>
  <c r="S94" i="56"/>
  <c r="T94" i="56"/>
  <c r="R94" i="56"/>
  <c r="Q94" i="56"/>
  <c r="P94" i="56"/>
  <c r="L94" i="56"/>
  <c r="K94" i="56"/>
  <c r="X13" i="46"/>
  <c r="X14" i="46"/>
  <c r="G144" i="48"/>
  <c r="X6" i="53" l="1"/>
  <c r="Y6" i="53"/>
  <c r="Z6" i="53"/>
  <c r="AA6" i="53"/>
  <c r="AB6" i="53"/>
  <c r="AC6" i="53"/>
  <c r="AD6" i="53"/>
  <c r="AE6" i="53"/>
  <c r="AF6" i="53"/>
  <c r="AG6" i="53"/>
  <c r="AH6" i="53"/>
  <c r="AI6" i="53"/>
  <c r="X7" i="53"/>
  <c r="Y7" i="53"/>
  <c r="Z7" i="53"/>
  <c r="AA7" i="53"/>
  <c r="AB7" i="53"/>
  <c r="AC7" i="53"/>
  <c r="AD7" i="53"/>
  <c r="AE7" i="53"/>
  <c r="AF7" i="53"/>
  <c r="AG7" i="53"/>
  <c r="AH7" i="53"/>
  <c r="AI7" i="53"/>
  <c r="X8" i="53"/>
  <c r="Y8" i="53"/>
  <c r="Z8" i="53"/>
  <c r="AA8" i="53"/>
  <c r="AB8" i="53"/>
  <c r="AC8" i="53"/>
  <c r="AD8" i="53"/>
  <c r="AE8" i="53"/>
  <c r="AF8" i="53"/>
  <c r="AG8" i="53"/>
  <c r="AH8" i="53"/>
  <c r="AI8" i="53"/>
  <c r="X9" i="53"/>
  <c r="Y9" i="53"/>
  <c r="Z9" i="53"/>
  <c r="AA9" i="53"/>
  <c r="AB9" i="53"/>
  <c r="AC9" i="53"/>
  <c r="AD9" i="53"/>
  <c r="AE9" i="53"/>
  <c r="AF9" i="53"/>
  <c r="AG9" i="53"/>
  <c r="AH9" i="53"/>
  <c r="AI9" i="53"/>
  <c r="X10" i="53"/>
  <c r="Y10" i="53"/>
  <c r="Z10" i="53"/>
  <c r="AA10" i="53"/>
  <c r="AB10" i="53"/>
  <c r="AC10" i="53"/>
  <c r="AD10" i="53"/>
  <c r="AE10" i="53"/>
  <c r="AF10" i="53"/>
  <c r="AG10" i="53"/>
  <c r="AH10" i="53"/>
  <c r="AI10" i="53"/>
  <c r="X11" i="53"/>
  <c r="Y11" i="53"/>
  <c r="Z11" i="53"/>
  <c r="AA11" i="53"/>
  <c r="AB11" i="53"/>
  <c r="AC11" i="53"/>
  <c r="AD11" i="53"/>
  <c r="AE11" i="53"/>
  <c r="AF11" i="53"/>
  <c r="AG11" i="53"/>
  <c r="AH11" i="53"/>
  <c r="AI11" i="53"/>
  <c r="X12" i="53"/>
  <c r="Y12" i="53"/>
  <c r="Z12" i="53"/>
  <c r="AA12" i="53"/>
  <c r="AB12" i="53"/>
  <c r="AC12" i="53"/>
  <c r="AD12" i="53"/>
  <c r="AE12" i="53"/>
  <c r="AF12" i="53"/>
  <c r="AG12" i="53"/>
  <c r="AH12" i="53"/>
  <c r="AI12" i="53"/>
  <c r="X13" i="53"/>
  <c r="Y13" i="53"/>
  <c r="Z13" i="53"/>
  <c r="AA13" i="53"/>
  <c r="AB13" i="53"/>
  <c r="AC13" i="53"/>
  <c r="AD13" i="53"/>
  <c r="AE13" i="53"/>
  <c r="AF13" i="53"/>
  <c r="AG13" i="53"/>
  <c r="AH13" i="53"/>
  <c r="AI13" i="53"/>
  <c r="Y5" i="53"/>
  <c r="Z5" i="53"/>
  <c r="AA5" i="53"/>
  <c r="AB5" i="53"/>
  <c r="AC5" i="53"/>
  <c r="AD5" i="53"/>
  <c r="AE5" i="53"/>
  <c r="AF5" i="53"/>
  <c r="AG5" i="53"/>
  <c r="AH5" i="53"/>
  <c r="AI5" i="53"/>
  <c r="Y4" i="53"/>
  <c r="Z4" i="53"/>
  <c r="AA4" i="53"/>
  <c r="AB4" i="53"/>
  <c r="AC4" i="53"/>
  <c r="AD4" i="53"/>
  <c r="AE4" i="53"/>
  <c r="AF4" i="53"/>
  <c r="AG4" i="53"/>
  <c r="AH4" i="53"/>
  <c r="AI4" i="53"/>
  <c r="X4" i="53"/>
  <c r="X5" i="53" l="1"/>
  <c r="Y13" i="51"/>
  <c r="Z13" i="51"/>
  <c r="AA13" i="51"/>
  <c r="AB13" i="51"/>
  <c r="AC13" i="51"/>
  <c r="AD13" i="51"/>
  <c r="AE13" i="51"/>
  <c r="AF13" i="51"/>
  <c r="AG13" i="51"/>
  <c r="AH13" i="51"/>
  <c r="AI13" i="51"/>
  <c r="X13" i="51"/>
  <c r="Y14" i="51"/>
  <c r="Z14" i="51"/>
  <c r="AA14" i="51"/>
  <c r="AB14" i="51"/>
  <c r="AC14" i="51"/>
  <c r="AD14" i="51"/>
  <c r="AE14" i="51"/>
  <c r="AF14" i="51"/>
  <c r="AG14" i="51"/>
  <c r="AH14" i="51"/>
  <c r="AI14" i="51"/>
  <c r="X14" i="51"/>
  <c r="X10" i="51"/>
  <c r="Y10" i="51"/>
  <c r="Z10" i="51"/>
  <c r="AA10" i="51"/>
  <c r="AB10" i="51"/>
  <c r="AC10" i="51"/>
  <c r="AD10" i="51"/>
  <c r="AE10" i="51"/>
  <c r="AF10" i="51"/>
  <c r="AG10" i="51"/>
  <c r="AH10" i="51"/>
  <c r="AI10" i="51"/>
  <c r="X11" i="51"/>
  <c r="Y11" i="51"/>
  <c r="Z11" i="51"/>
  <c r="AA11" i="51"/>
  <c r="AB11" i="51"/>
  <c r="AC11" i="51"/>
  <c r="AD11" i="51"/>
  <c r="AE11" i="51"/>
  <c r="AF11" i="51"/>
  <c r="AG11" i="51"/>
  <c r="AH11" i="51"/>
  <c r="AI11" i="51"/>
  <c r="X12" i="51"/>
  <c r="Y12" i="51"/>
  <c r="Z12" i="51"/>
  <c r="AA12" i="51"/>
  <c r="AB12" i="51"/>
  <c r="AC12" i="51"/>
  <c r="AD12" i="51"/>
  <c r="AE12" i="51"/>
  <c r="AF12" i="51"/>
  <c r="AG12" i="51"/>
  <c r="AH12" i="51"/>
  <c r="AI12" i="51"/>
  <c r="L19" i="25"/>
  <c r="L23" i="56" s="1"/>
  <c r="L17" i="25"/>
  <c r="L21" i="56" s="1"/>
  <c r="L11" i="25"/>
  <c r="L7" i="25"/>
  <c r="X15" i="50" l="1"/>
  <c r="Y15" i="50"/>
  <c r="Z15" i="50"/>
  <c r="AA15" i="50"/>
  <c r="AB15" i="50"/>
  <c r="AC15" i="50"/>
  <c r="AD15" i="50"/>
  <c r="AE15" i="50"/>
  <c r="AF15" i="50"/>
  <c r="AG15" i="50"/>
  <c r="AH15" i="50"/>
  <c r="AI15" i="50"/>
  <c r="X16" i="50"/>
  <c r="Y16" i="50"/>
  <c r="Z16" i="50"/>
  <c r="AA16" i="50"/>
  <c r="AB16" i="50"/>
  <c r="AC16" i="50"/>
  <c r="AD16" i="50"/>
  <c r="AE16" i="50"/>
  <c r="AF16" i="50"/>
  <c r="AG16" i="50"/>
  <c r="AH16" i="50"/>
  <c r="AI16" i="50"/>
  <c r="AI13" i="50"/>
  <c r="Y14" i="50"/>
  <c r="Z14" i="50"/>
  <c r="AA14" i="50"/>
  <c r="AB14" i="50"/>
  <c r="AC14" i="50"/>
  <c r="AD14" i="50"/>
  <c r="AE14" i="50"/>
  <c r="AF14" i="50"/>
  <c r="AG14" i="50"/>
  <c r="AH14" i="50"/>
  <c r="AI14" i="50"/>
  <c r="Y13" i="50"/>
  <c r="Z13" i="50"/>
  <c r="AA13" i="50"/>
  <c r="AB13" i="50"/>
  <c r="AC13" i="50"/>
  <c r="AD13" i="50"/>
  <c r="AE13" i="50"/>
  <c r="AF13" i="50"/>
  <c r="AG13" i="50"/>
  <c r="AH13" i="50"/>
  <c r="X13" i="50"/>
  <c r="X14" i="50"/>
  <c r="K25" i="50"/>
  <c r="K40" i="56" s="1"/>
  <c r="Y6" i="51" l="1"/>
  <c r="Z6" i="51"/>
  <c r="AA6" i="51"/>
  <c r="AB6" i="51"/>
  <c r="AC6" i="51"/>
  <c r="AD6" i="51"/>
  <c r="AE6" i="51"/>
  <c r="AF6" i="51"/>
  <c r="AG6" i="51"/>
  <c r="AH6" i="51"/>
  <c r="AI6" i="51"/>
  <c r="Y7" i="51"/>
  <c r="Z7" i="51"/>
  <c r="AA7" i="51"/>
  <c r="AB7" i="51"/>
  <c r="AC7" i="51"/>
  <c r="AD7" i="51"/>
  <c r="AE7" i="51"/>
  <c r="AF7" i="51"/>
  <c r="AG7" i="51"/>
  <c r="AH7" i="51"/>
  <c r="AI7" i="51"/>
  <c r="Y8" i="51"/>
  <c r="Z8" i="51"/>
  <c r="AA8" i="51"/>
  <c r="AB8" i="51"/>
  <c r="AC8" i="51"/>
  <c r="AD8" i="51"/>
  <c r="AE8" i="51"/>
  <c r="AF8" i="51"/>
  <c r="AG8" i="51"/>
  <c r="AH8" i="51"/>
  <c r="AI8" i="51"/>
  <c r="K11" i="25"/>
  <c r="K7" i="25"/>
  <c r="F127" i="48"/>
  <c r="E127" i="48"/>
  <c r="G126" i="48"/>
  <c r="F126" i="48"/>
  <c r="E126" i="48"/>
  <c r="F125" i="48"/>
  <c r="E125" i="48"/>
  <c r="G123" i="48"/>
  <c r="E123" i="48"/>
  <c r="F123" i="48"/>
  <c r="F122" i="48"/>
  <c r="E122" i="48"/>
  <c r="G122" i="48"/>
  <c r="F143" i="48" l="1"/>
  <c r="F140" i="48"/>
  <c r="E140" i="48"/>
  <c r="F141" i="48"/>
  <c r="G124" i="48"/>
  <c r="F142" i="48" s="1"/>
  <c r="K27" i="42"/>
  <c r="K155" i="56" s="1"/>
  <c r="F144" i="48" l="1"/>
  <c r="K21" i="25"/>
  <c r="K25" i="56" s="1"/>
  <c r="J15" i="25"/>
  <c r="J19" i="56" s="1"/>
  <c r="J17" i="25"/>
  <c r="J21" i="56" s="1"/>
  <c r="J6" i="49"/>
  <c r="K6" i="49" s="1"/>
  <c r="L6" i="49" s="1"/>
  <c r="M6" i="49" s="1"/>
  <c r="N6" i="49" s="1"/>
  <c r="P6" i="49" s="1"/>
  <c r="Q6" i="49" s="1"/>
  <c r="R6" i="49" s="1"/>
  <c r="S6" i="49" s="1"/>
  <c r="J11" i="48" l="1"/>
  <c r="X1" i="51" l="1"/>
  <c r="X9" i="51"/>
  <c r="X7" i="51"/>
  <c r="X8" i="51"/>
  <c r="X4" i="51" a="1"/>
  <c r="X3" i="51"/>
  <c r="X2" i="51"/>
  <c r="Y9" i="51"/>
  <c r="Z9" i="51"/>
  <c r="AA9" i="51"/>
  <c r="AB9" i="51"/>
  <c r="AC9" i="51"/>
  <c r="AD9" i="51"/>
  <c r="AE9" i="51"/>
  <c r="AF9" i="51"/>
  <c r="AG9" i="51"/>
  <c r="AH9" i="51"/>
  <c r="AI9" i="51"/>
  <c r="J11" i="25"/>
  <c r="J7" i="25"/>
  <c r="E143" i="48"/>
  <c r="E141" i="48"/>
  <c r="F124" i="48"/>
  <c r="E142" i="48" s="1"/>
  <c r="E144" i="48" l="1"/>
  <c r="I11" i="25" l="1"/>
  <c r="I21" i="25"/>
  <c r="I19" i="25"/>
  <c r="I23" i="56" s="1"/>
  <c r="I17" i="25"/>
  <c r="W3" i="25" s="1"/>
  <c r="I7" i="25"/>
  <c r="D143" i="48"/>
  <c r="D141" i="48"/>
  <c r="E124" i="48"/>
  <c r="D142" i="48" s="1"/>
  <c r="D140" i="48"/>
  <c r="AI6" i="46"/>
  <c r="AF5" i="46"/>
  <c r="AC5" i="46"/>
  <c r="AD5" i="46"/>
  <c r="AB6" i="46"/>
  <c r="Z6" i="46"/>
  <c r="AA6" i="46"/>
  <c r="AI7" i="46"/>
  <c r="AH7" i="46"/>
  <c r="AE7" i="46"/>
  <c r="AD7" i="46"/>
  <c r="AA7" i="46"/>
  <c r="Y10" i="46"/>
  <c r="Y11" i="46"/>
  <c r="X11" i="46"/>
  <c r="Y13" i="46"/>
  <c r="Y2" i="46"/>
  <c r="K49" i="42"/>
  <c r="L49" i="42" s="1"/>
  <c r="M49" i="42" s="1"/>
  <c r="N49" i="42" s="1"/>
  <c r="O49" i="42" s="1"/>
  <c r="P49" i="42" s="1"/>
  <c r="Q49" i="42" s="1"/>
  <c r="R49" i="42" s="1"/>
  <c r="D22" i="42"/>
  <c r="E11" i="41"/>
  <c r="F11" i="41"/>
  <c r="G11" i="41"/>
  <c r="H11" i="41"/>
  <c r="I11" i="41"/>
  <c r="J11" i="41"/>
  <c r="E9" i="41"/>
  <c r="F9" i="41"/>
  <c r="G9" i="41"/>
  <c r="H9" i="41"/>
  <c r="I9" i="41"/>
  <c r="J9" i="41"/>
  <c r="E7" i="41"/>
  <c r="F7" i="41"/>
  <c r="G7" i="41"/>
  <c r="H7" i="41"/>
  <c r="I7" i="41"/>
  <c r="J7" i="41"/>
  <c r="C11" i="41"/>
  <c r="C9" i="41"/>
  <c r="C7" i="41"/>
  <c r="Y1" i="51"/>
  <c r="Z1" i="51"/>
  <c r="AA1" i="51"/>
  <c r="AB1" i="51"/>
  <c r="AC1" i="51"/>
  <c r="AD1" i="51"/>
  <c r="AE1" i="51"/>
  <c r="AF1" i="51"/>
  <c r="AG1" i="51"/>
  <c r="AH1" i="51"/>
  <c r="AI1" i="51"/>
  <c r="Y2" i="51"/>
  <c r="Z2" i="51"/>
  <c r="AA2" i="51"/>
  <c r="AB2" i="51"/>
  <c r="AC2" i="51"/>
  <c r="AD2" i="51"/>
  <c r="AE2" i="51"/>
  <c r="AF2" i="51"/>
  <c r="AG2" i="51"/>
  <c r="AH2" i="51"/>
  <c r="AI2" i="51"/>
  <c r="H26" i="51"/>
  <c r="X3" i="52"/>
  <c r="Y3" i="52"/>
  <c r="Z3" i="52"/>
  <c r="AA3" i="52"/>
  <c r="AB3" i="52"/>
  <c r="AC3" i="52"/>
  <c r="AD3" i="52"/>
  <c r="AE3" i="52"/>
  <c r="AF3" i="52"/>
  <c r="AG3" i="52"/>
  <c r="AH3" i="52"/>
  <c r="AI3" i="52"/>
  <c r="X4" i="52"/>
  <c r="Y4" i="52"/>
  <c r="Z4" i="52"/>
  <c r="AA4" i="52"/>
  <c r="AB4" i="52"/>
  <c r="AC4" i="52"/>
  <c r="AD4" i="52"/>
  <c r="AE4" i="52"/>
  <c r="AF4" i="52"/>
  <c r="AG4" i="52"/>
  <c r="AH4" i="52"/>
  <c r="AI4" i="52"/>
  <c r="X5" i="52"/>
  <c r="Y5" i="52"/>
  <c r="Z5" i="52"/>
  <c r="AA5" i="52"/>
  <c r="AB5" i="52"/>
  <c r="AC5" i="52"/>
  <c r="AD5" i="52"/>
  <c r="AE5" i="52"/>
  <c r="AF5" i="52"/>
  <c r="AG5" i="52"/>
  <c r="AH5" i="52"/>
  <c r="AI5" i="52"/>
  <c r="X6" i="52"/>
  <c r="Y6" i="52"/>
  <c r="Z6" i="52"/>
  <c r="AA6" i="52"/>
  <c r="AB6" i="52"/>
  <c r="AC6" i="52"/>
  <c r="AD6" i="52"/>
  <c r="AE6" i="52"/>
  <c r="AF6" i="52"/>
  <c r="AG6" i="52"/>
  <c r="AH6" i="52"/>
  <c r="AI6" i="52"/>
  <c r="X7" i="52"/>
  <c r="Y7" i="52"/>
  <c r="Z7" i="52"/>
  <c r="AA7" i="52"/>
  <c r="AB7" i="52"/>
  <c r="AC7" i="52"/>
  <c r="AD7" i="52"/>
  <c r="AE7" i="52"/>
  <c r="AF7" i="52"/>
  <c r="AG7" i="52"/>
  <c r="AH7" i="52"/>
  <c r="AI7" i="52"/>
  <c r="X8" i="52"/>
  <c r="Y8" i="52"/>
  <c r="Z8" i="52"/>
  <c r="AA8" i="52"/>
  <c r="AB8" i="52"/>
  <c r="AC8" i="52"/>
  <c r="AD8" i="52"/>
  <c r="AE8" i="52"/>
  <c r="AF8" i="52"/>
  <c r="AG8" i="52"/>
  <c r="AH8" i="52"/>
  <c r="AI8" i="52"/>
  <c r="X9" i="52"/>
  <c r="Y9" i="52"/>
  <c r="Z9" i="52"/>
  <c r="AA9" i="52"/>
  <c r="AB9" i="52"/>
  <c r="AC9" i="52"/>
  <c r="AD9" i="52"/>
  <c r="AE9" i="52"/>
  <c r="AF9" i="52"/>
  <c r="AG9" i="52"/>
  <c r="AH9" i="52"/>
  <c r="AI9" i="52"/>
  <c r="X10" i="52"/>
  <c r="Y10" i="52"/>
  <c r="Z10" i="52"/>
  <c r="AA10" i="52"/>
  <c r="AB10" i="52"/>
  <c r="AC10" i="52"/>
  <c r="AD10" i="52"/>
  <c r="AE10" i="52"/>
  <c r="AF10" i="52"/>
  <c r="AG10" i="52"/>
  <c r="AH10" i="52"/>
  <c r="AI10" i="52"/>
  <c r="X11" i="52"/>
  <c r="Y11" i="52"/>
  <c r="Z11" i="52"/>
  <c r="AA11" i="52"/>
  <c r="AB11" i="52"/>
  <c r="AC11" i="52"/>
  <c r="AD11" i="52"/>
  <c r="AE11" i="52"/>
  <c r="AF11" i="52"/>
  <c r="AG11" i="52"/>
  <c r="AH11" i="52"/>
  <c r="AI11" i="52"/>
  <c r="X12" i="52"/>
  <c r="Y12" i="52"/>
  <c r="Z12" i="52"/>
  <c r="AA12" i="52"/>
  <c r="AB12" i="52"/>
  <c r="AC12" i="52"/>
  <c r="AD12" i="52"/>
  <c r="AE12" i="52"/>
  <c r="AF12" i="52"/>
  <c r="AG12" i="52"/>
  <c r="AH12" i="52"/>
  <c r="AI12" i="52"/>
  <c r="Y1" i="52"/>
  <c r="Z1" i="52"/>
  <c r="AA1" i="52"/>
  <c r="AB1" i="52"/>
  <c r="AC1" i="52"/>
  <c r="AD1" i="52"/>
  <c r="AE1" i="52"/>
  <c r="AF1" i="52"/>
  <c r="AG1" i="52"/>
  <c r="AH1" i="52"/>
  <c r="AI1" i="52"/>
  <c r="Y2" i="52"/>
  <c r="Z2" i="52"/>
  <c r="AA2" i="52"/>
  <c r="AB2" i="52"/>
  <c r="AC2" i="52"/>
  <c r="AD2" i="52"/>
  <c r="AE2" i="52"/>
  <c r="AF2" i="52"/>
  <c r="AG2" i="52"/>
  <c r="AH2" i="52"/>
  <c r="AI2" i="52"/>
  <c r="X2" i="52"/>
  <c r="X1" i="52"/>
  <c r="X3" i="42"/>
  <c r="Y3" i="42"/>
  <c r="Z3" i="42"/>
  <c r="AA3" i="42"/>
  <c r="AB3" i="42"/>
  <c r="AC3" i="42"/>
  <c r="AD3" i="42"/>
  <c r="AE3" i="42"/>
  <c r="AF3" i="42"/>
  <c r="AG3" i="42"/>
  <c r="AH3" i="42"/>
  <c r="AI3" i="42"/>
  <c r="X4" i="42"/>
  <c r="Y4" i="42"/>
  <c r="Z4" i="42"/>
  <c r="AA4" i="42"/>
  <c r="AB4" i="42"/>
  <c r="AC4" i="42"/>
  <c r="AD4" i="42"/>
  <c r="AE4" i="42"/>
  <c r="AF4" i="42"/>
  <c r="AG4" i="42"/>
  <c r="AH4" i="42"/>
  <c r="AI4" i="42"/>
  <c r="X5" i="42"/>
  <c r="Y5" i="42"/>
  <c r="Z5" i="42"/>
  <c r="AA5" i="42"/>
  <c r="AB5" i="42"/>
  <c r="AC5" i="42"/>
  <c r="AD5" i="42"/>
  <c r="AE5" i="42"/>
  <c r="AF5" i="42"/>
  <c r="AG5" i="42"/>
  <c r="AH5" i="42"/>
  <c r="AI5" i="42"/>
  <c r="X6" i="42"/>
  <c r="Y6" i="42"/>
  <c r="Z6" i="42"/>
  <c r="AA6" i="42"/>
  <c r="AB6" i="42"/>
  <c r="AC6" i="42"/>
  <c r="AD6" i="42"/>
  <c r="AE6" i="42"/>
  <c r="AF6" i="42"/>
  <c r="AG6" i="42"/>
  <c r="AH6" i="42"/>
  <c r="AI6" i="42"/>
  <c r="X7" i="42"/>
  <c r="Y7" i="42"/>
  <c r="Z7" i="42"/>
  <c r="AA7" i="42"/>
  <c r="AB7" i="42"/>
  <c r="AC7" i="42"/>
  <c r="AD7" i="42"/>
  <c r="AE7" i="42"/>
  <c r="AF7" i="42"/>
  <c r="AG7" i="42"/>
  <c r="AH7" i="42"/>
  <c r="AI7" i="42"/>
  <c r="X8" i="42"/>
  <c r="Y8" i="42"/>
  <c r="Z8" i="42"/>
  <c r="AA8" i="42"/>
  <c r="AB8" i="42"/>
  <c r="AC8" i="42"/>
  <c r="AD8" i="42"/>
  <c r="AE8" i="42"/>
  <c r="AF8" i="42"/>
  <c r="AG8" i="42"/>
  <c r="AH8" i="42"/>
  <c r="AI8" i="42"/>
  <c r="X9" i="42"/>
  <c r="Y9" i="42"/>
  <c r="Z9" i="42"/>
  <c r="AA9" i="42"/>
  <c r="AB9" i="42"/>
  <c r="AC9" i="42"/>
  <c r="AD9" i="42"/>
  <c r="AE9" i="42"/>
  <c r="AF9" i="42"/>
  <c r="AG9" i="42"/>
  <c r="AH9" i="42"/>
  <c r="AI9" i="42"/>
  <c r="X10" i="42"/>
  <c r="Y10" i="42"/>
  <c r="Z10" i="42"/>
  <c r="AA10" i="42"/>
  <c r="AB10" i="42"/>
  <c r="AC10" i="42"/>
  <c r="AD10" i="42"/>
  <c r="AE10" i="42"/>
  <c r="AF10" i="42"/>
  <c r="AG10" i="42"/>
  <c r="AH10" i="42"/>
  <c r="AI10" i="42"/>
  <c r="X11" i="42"/>
  <c r="Y11" i="42"/>
  <c r="Z11" i="42"/>
  <c r="AA11" i="42"/>
  <c r="AB11" i="42"/>
  <c r="AC11" i="42"/>
  <c r="AD11" i="42"/>
  <c r="AE11" i="42"/>
  <c r="AF11" i="42"/>
  <c r="AG11" i="42"/>
  <c r="AH11" i="42"/>
  <c r="AI11" i="42"/>
  <c r="X12" i="42"/>
  <c r="Y12" i="42"/>
  <c r="Z12" i="42"/>
  <c r="AA12" i="42"/>
  <c r="AB12" i="42"/>
  <c r="AC12" i="42"/>
  <c r="AD12" i="42"/>
  <c r="AE12" i="42"/>
  <c r="AF12" i="42"/>
  <c r="AG12" i="42"/>
  <c r="AH12" i="42"/>
  <c r="AI12" i="42"/>
  <c r="Y2" i="42"/>
  <c r="Z2" i="42"/>
  <c r="AA2" i="42"/>
  <c r="AB2" i="42"/>
  <c r="AC2" i="42"/>
  <c r="AD2" i="42"/>
  <c r="AE2" i="42"/>
  <c r="AF2" i="42"/>
  <c r="AG2" i="42"/>
  <c r="AH2" i="42"/>
  <c r="AI2" i="42"/>
  <c r="X2" i="42"/>
  <c r="Y1" i="42"/>
  <c r="Z1" i="42"/>
  <c r="AA1" i="42"/>
  <c r="AB1" i="42"/>
  <c r="AC1" i="42"/>
  <c r="AD1" i="42"/>
  <c r="AE1" i="42"/>
  <c r="AF1" i="42"/>
  <c r="AG1" i="42"/>
  <c r="AH1" i="42"/>
  <c r="AI1" i="42"/>
  <c r="X1" i="42"/>
  <c r="X3" i="43"/>
  <c r="Y3" i="43"/>
  <c r="Z3" i="43"/>
  <c r="AA3" i="43"/>
  <c r="AB3" i="43"/>
  <c r="AC3" i="43"/>
  <c r="AD3" i="43"/>
  <c r="AE3" i="43"/>
  <c r="AF3" i="43"/>
  <c r="AG3" i="43"/>
  <c r="AH3" i="43"/>
  <c r="AI3" i="43"/>
  <c r="X4" i="43"/>
  <c r="Y4" i="43"/>
  <c r="Z4" i="43"/>
  <c r="AA4" i="43"/>
  <c r="AB4" i="43"/>
  <c r="AC4" i="43"/>
  <c r="AD4" i="43"/>
  <c r="AE4" i="43"/>
  <c r="AF4" i="43"/>
  <c r="AG4" i="43"/>
  <c r="AH4" i="43"/>
  <c r="AI4" i="43"/>
  <c r="X5" i="43"/>
  <c r="Y5" i="43"/>
  <c r="Z5" i="43"/>
  <c r="AA5" i="43"/>
  <c r="AB5" i="43"/>
  <c r="AC5" i="43"/>
  <c r="AD5" i="43"/>
  <c r="AE5" i="43"/>
  <c r="AF5" i="43"/>
  <c r="AG5" i="43"/>
  <c r="AH5" i="43"/>
  <c r="AI5" i="43"/>
  <c r="X6" i="43"/>
  <c r="Y6" i="43"/>
  <c r="Z6" i="43"/>
  <c r="AA6" i="43"/>
  <c r="AB6" i="43"/>
  <c r="AC6" i="43"/>
  <c r="AD6" i="43"/>
  <c r="AE6" i="43"/>
  <c r="AF6" i="43"/>
  <c r="AG6" i="43"/>
  <c r="AH6" i="43"/>
  <c r="AI6" i="43"/>
  <c r="X7" i="43"/>
  <c r="Y7" i="43"/>
  <c r="Z7" i="43"/>
  <c r="AA7" i="43"/>
  <c r="AB7" i="43"/>
  <c r="AC7" i="43"/>
  <c r="AD7" i="43"/>
  <c r="AE7" i="43"/>
  <c r="AF7" i="43"/>
  <c r="AG7" i="43"/>
  <c r="AH7" i="43"/>
  <c r="AI7" i="43"/>
  <c r="X8" i="43"/>
  <c r="Y8" i="43"/>
  <c r="Z8" i="43"/>
  <c r="AA8" i="43"/>
  <c r="AB8" i="43"/>
  <c r="AC8" i="43"/>
  <c r="AD8" i="43"/>
  <c r="AE8" i="43"/>
  <c r="AF8" i="43"/>
  <c r="AG8" i="43"/>
  <c r="AH8" i="43"/>
  <c r="AI8" i="43"/>
  <c r="X9" i="43"/>
  <c r="Y9" i="43"/>
  <c r="Z9" i="43"/>
  <c r="AA9" i="43"/>
  <c r="AB9" i="43"/>
  <c r="AC9" i="43"/>
  <c r="AD9" i="43"/>
  <c r="AE9" i="43"/>
  <c r="AF9" i="43"/>
  <c r="AG9" i="43"/>
  <c r="AH9" i="43"/>
  <c r="AI9" i="43"/>
  <c r="X10" i="43"/>
  <c r="Y10" i="43"/>
  <c r="Z10" i="43"/>
  <c r="AA10" i="43"/>
  <c r="AB10" i="43"/>
  <c r="AC10" i="43"/>
  <c r="AD10" i="43"/>
  <c r="AE10" i="43"/>
  <c r="AF10" i="43"/>
  <c r="AG10" i="43"/>
  <c r="AH10" i="43"/>
  <c r="AI10" i="43"/>
  <c r="X11" i="43"/>
  <c r="Y11" i="43"/>
  <c r="Z11" i="43"/>
  <c r="AA11" i="43"/>
  <c r="AB11" i="43"/>
  <c r="AC11" i="43"/>
  <c r="AD11" i="43"/>
  <c r="AE11" i="43"/>
  <c r="AF11" i="43"/>
  <c r="AG11" i="43"/>
  <c r="AH11" i="43"/>
  <c r="AI11" i="43"/>
  <c r="X12" i="43"/>
  <c r="Y12" i="43"/>
  <c r="Z12" i="43"/>
  <c r="AA12" i="43"/>
  <c r="AB12" i="43"/>
  <c r="AC12" i="43"/>
  <c r="AD12" i="43"/>
  <c r="AE12" i="43"/>
  <c r="AF12" i="43"/>
  <c r="AG12" i="43"/>
  <c r="AH12" i="43"/>
  <c r="AI12" i="43"/>
  <c r="AE1" i="43"/>
  <c r="AG1" i="43"/>
  <c r="AH1" i="43"/>
  <c r="AI1" i="43"/>
  <c r="AE2" i="43"/>
  <c r="AG2" i="43"/>
  <c r="AH2" i="43"/>
  <c r="AI2" i="43"/>
  <c r="X3" i="44"/>
  <c r="Y3" i="44"/>
  <c r="Z3" i="44"/>
  <c r="AA3" i="44"/>
  <c r="AB3" i="44"/>
  <c r="AC3" i="44"/>
  <c r="AD3" i="44"/>
  <c r="AE3" i="44"/>
  <c r="AF3" i="44"/>
  <c r="AG3" i="44"/>
  <c r="AH3" i="44"/>
  <c r="AI3" i="44"/>
  <c r="X4" i="44"/>
  <c r="Y4" i="44"/>
  <c r="Z4" i="44"/>
  <c r="AA4" i="44"/>
  <c r="AB4" i="44"/>
  <c r="AC4" i="44"/>
  <c r="AD4" i="44"/>
  <c r="AE4" i="44"/>
  <c r="AF4" i="44"/>
  <c r="AG4" i="44"/>
  <c r="AH4" i="44"/>
  <c r="AI4" i="44"/>
  <c r="X5" i="44"/>
  <c r="Y5" i="44"/>
  <c r="Z5" i="44"/>
  <c r="AA5" i="44"/>
  <c r="AB5" i="44"/>
  <c r="AC5" i="44"/>
  <c r="AD5" i="44"/>
  <c r="AE5" i="44"/>
  <c r="AF5" i="44"/>
  <c r="AG5" i="44"/>
  <c r="AH5" i="44"/>
  <c r="AI5" i="44"/>
  <c r="X6" i="44"/>
  <c r="Y6" i="44"/>
  <c r="Z6" i="44"/>
  <c r="AA6" i="44"/>
  <c r="AB6" i="44"/>
  <c r="AC6" i="44"/>
  <c r="AD6" i="44"/>
  <c r="AE6" i="44"/>
  <c r="AF6" i="44"/>
  <c r="AG6" i="44"/>
  <c r="AH6" i="44"/>
  <c r="AI6" i="44"/>
  <c r="X7" i="44"/>
  <c r="Y7" i="44"/>
  <c r="Z7" i="44"/>
  <c r="AA7" i="44"/>
  <c r="AB7" i="44"/>
  <c r="AC7" i="44"/>
  <c r="AD7" i="44"/>
  <c r="AE7" i="44"/>
  <c r="AF7" i="44"/>
  <c r="AG7" i="44"/>
  <c r="AH7" i="44"/>
  <c r="AI7" i="44"/>
  <c r="X8" i="44"/>
  <c r="Y8" i="44"/>
  <c r="Z8" i="44"/>
  <c r="AA8" i="44"/>
  <c r="AB8" i="44"/>
  <c r="AC8" i="44"/>
  <c r="AD8" i="44"/>
  <c r="AE8" i="44"/>
  <c r="AF8" i="44"/>
  <c r="AG8" i="44"/>
  <c r="AH8" i="44"/>
  <c r="AI8" i="44"/>
  <c r="X9" i="44"/>
  <c r="Y9" i="44"/>
  <c r="Z9" i="44"/>
  <c r="AA9" i="44"/>
  <c r="AB9" i="44"/>
  <c r="AC9" i="44"/>
  <c r="AD9" i="44"/>
  <c r="AE9" i="44"/>
  <c r="AF9" i="44"/>
  <c r="AG9" i="44"/>
  <c r="AH9" i="44"/>
  <c r="AI9" i="44"/>
  <c r="X10" i="44"/>
  <c r="Y10" i="44"/>
  <c r="Z10" i="44"/>
  <c r="AA10" i="44"/>
  <c r="AB10" i="44"/>
  <c r="AC10" i="44"/>
  <c r="AD10" i="44"/>
  <c r="AE10" i="44"/>
  <c r="AF10" i="44"/>
  <c r="AG10" i="44"/>
  <c r="AH10" i="44"/>
  <c r="AI10" i="44"/>
  <c r="X11" i="44"/>
  <c r="Y11" i="44"/>
  <c r="Z11" i="44"/>
  <c r="AA11" i="44"/>
  <c r="AB11" i="44"/>
  <c r="AC11" i="44"/>
  <c r="AD11" i="44"/>
  <c r="AE11" i="44"/>
  <c r="AF11" i="44"/>
  <c r="AG11" i="44"/>
  <c r="AH11" i="44"/>
  <c r="AI11" i="44"/>
  <c r="X12" i="44"/>
  <c r="Y12" i="44"/>
  <c r="Z12" i="44"/>
  <c r="AA12" i="44"/>
  <c r="AB12" i="44"/>
  <c r="AC12" i="44"/>
  <c r="AD12" i="44"/>
  <c r="AE12" i="44"/>
  <c r="AF12" i="44"/>
  <c r="AG12" i="44"/>
  <c r="AH12" i="44"/>
  <c r="AI12" i="44"/>
  <c r="Y1" i="44"/>
  <c r="Z1" i="44"/>
  <c r="AA1" i="44"/>
  <c r="AB1" i="44"/>
  <c r="AC1" i="44"/>
  <c r="AD1" i="44"/>
  <c r="AE1" i="44"/>
  <c r="AF1" i="44"/>
  <c r="AG1" i="44"/>
  <c r="AH1" i="44"/>
  <c r="AI1" i="44"/>
  <c r="Y2" i="44"/>
  <c r="Z2" i="44"/>
  <c r="AA2" i="44"/>
  <c r="AB2" i="44"/>
  <c r="AC2" i="44"/>
  <c r="AD2" i="44"/>
  <c r="AE2" i="44"/>
  <c r="AF2" i="44"/>
  <c r="AG2" i="44"/>
  <c r="AH2" i="44"/>
  <c r="AI2" i="44"/>
  <c r="X2" i="44"/>
  <c r="X1" i="44"/>
  <c r="X3" i="46"/>
  <c r="Y3" i="46"/>
  <c r="Z3" i="46"/>
  <c r="AA3" i="46"/>
  <c r="AB3" i="46"/>
  <c r="AC3" i="46"/>
  <c r="AD3" i="46"/>
  <c r="AE3" i="46"/>
  <c r="AF3" i="46"/>
  <c r="AG3" i="46"/>
  <c r="AH3" i="46"/>
  <c r="AI3" i="46"/>
  <c r="X4" i="46"/>
  <c r="Y4" i="46"/>
  <c r="Z4" i="46"/>
  <c r="AA4" i="46"/>
  <c r="AB4" i="46"/>
  <c r="AC4" i="46"/>
  <c r="AD4" i="46"/>
  <c r="AE4" i="46"/>
  <c r="AF4" i="46"/>
  <c r="AG4" i="46"/>
  <c r="AH4" i="46"/>
  <c r="AI4" i="46"/>
  <c r="X5" i="46"/>
  <c r="Y5" i="46"/>
  <c r="AE5" i="46"/>
  <c r="AI5" i="46"/>
  <c r="X6" i="46"/>
  <c r="Y6" i="46"/>
  <c r="AC6" i="46"/>
  <c r="AD6" i="46"/>
  <c r="AE6" i="46"/>
  <c r="AF6" i="46"/>
  <c r="X7" i="46"/>
  <c r="Y7" i="46"/>
  <c r="Z7" i="46"/>
  <c r="AF7" i="46"/>
  <c r="AG7" i="46"/>
  <c r="X8" i="46"/>
  <c r="Y8" i="46"/>
  <c r="Z8" i="46"/>
  <c r="AA8" i="46"/>
  <c r="AE8" i="46"/>
  <c r="AF8" i="46"/>
  <c r="AG8" i="46"/>
  <c r="AH8" i="46"/>
  <c r="X9" i="46"/>
  <c r="Z9" i="46"/>
  <c r="X10" i="46"/>
  <c r="Z10" i="46"/>
  <c r="Z11" i="46"/>
  <c r="Z12" i="46"/>
  <c r="AA12" i="46"/>
  <c r="Z1" i="46"/>
  <c r="Z2" i="46"/>
  <c r="X2" i="46"/>
  <c r="X1" i="46"/>
  <c r="X3" i="50"/>
  <c r="Y3" i="50"/>
  <c r="Z3" i="50"/>
  <c r="AA3" i="50"/>
  <c r="AB3" i="50"/>
  <c r="AC3" i="50"/>
  <c r="AD3" i="50"/>
  <c r="AE3" i="50"/>
  <c r="AF3" i="50"/>
  <c r="AG3" i="50"/>
  <c r="AH3" i="50"/>
  <c r="AI3" i="50"/>
  <c r="X4" i="50"/>
  <c r="Y4" i="50"/>
  <c r="Z4" i="50"/>
  <c r="AA4" i="50"/>
  <c r="AB4" i="50"/>
  <c r="AC4" i="50"/>
  <c r="AD4" i="50"/>
  <c r="AE4" i="50"/>
  <c r="AF4" i="50"/>
  <c r="AG4" i="50"/>
  <c r="AH4" i="50"/>
  <c r="AI4" i="50"/>
  <c r="Y5" i="50"/>
  <c r="Z5" i="50"/>
  <c r="AA5" i="50"/>
  <c r="AB5" i="50"/>
  <c r="AC5" i="50"/>
  <c r="AD5" i="50"/>
  <c r="AE5" i="50"/>
  <c r="AF5" i="50"/>
  <c r="AG5" i="50"/>
  <c r="AH5" i="50"/>
  <c r="AI5" i="50"/>
  <c r="AH6" i="50"/>
  <c r="AI6" i="50"/>
  <c r="Y7" i="50"/>
  <c r="Z7" i="50"/>
  <c r="AA7" i="50"/>
  <c r="AB7" i="50"/>
  <c r="AC7" i="50"/>
  <c r="AD7" i="50"/>
  <c r="AE7" i="50"/>
  <c r="AF7" i="50"/>
  <c r="AG7" i="50"/>
  <c r="AH7" i="50"/>
  <c r="AI7" i="50"/>
  <c r="Y8" i="50"/>
  <c r="Z8" i="50"/>
  <c r="AA8" i="50"/>
  <c r="AB8" i="50"/>
  <c r="AC8" i="50"/>
  <c r="AD8" i="50"/>
  <c r="AE8" i="50"/>
  <c r="AF8" i="50"/>
  <c r="AG8" i="50"/>
  <c r="AH8" i="50"/>
  <c r="AI8" i="50"/>
  <c r="X9" i="50"/>
  <c r="Y9" i="50"/>
  <c r="Z9" i="50"/>
  <c r="AA9" i="50"/>
  <c r="AB9" i="50"/>
  <c r="AC9" i="50"/>
  <c r="AD9" i="50"/>
  <c r="AE9" i="50"/>
  <c r="AF9" i="50"/>
  <c r="AG9" i="50"/>
  <c r="AH9" i="50"/>
  <c r="AI9" i="50"/>
  <c r="X10" i="50"/>
  <c r="Y10" i="50"/>
  <c r="Z10" i="50"/>
  <c r="AA10" i="50"/>
  <c r="AB10" i="50"/>
  <c r="AC10" i="50"/>
  <c r="AD10" i="50"/>
  <c r="AE10" i="50"/>
  <c r="AF10" i="50"/>
  <c r="AG10" i="50"/>
  <c r="AH10" i="50"/>
  <c r="AI10" i="50"/>
  <c r="X11" i="50"/>
  <c r="Y11" i="50"/>
  <c r="Z11" i="50"/>
  <c r="AA11" i="50"/>
  <c r="AB11" i="50"/>
  <c r="AC11" i="50"/>
  <c r="AD11" i="50"/>
  <c r="AE11" i="50"/>
  <c r="AF11" i="50"/>
  <c r="AG11" i="50"/>
  <c r="AH11" i="50"/>
  <c r="AI11" i="50"/>
  <c r="X12" i="50"/>
  <c r="Y12" i="50"/>
  <c r="Z12" i="50"/>
  <c r="AA12" i="50"/>
  <c r="AB12" i="50"/>
  <c r="AC12" i="50"/>
  <c r="AD12" i="50"/>
  <c r="AE12" i="50"/>
  <c r="AF12" i="50"/>
  <c r="AG12" i="50"/>
  <c r="AH12" i="50"/>
  <c r="AI12" i="50"/>
  <c r="X2" i="50"/>
  <c r="X1" i="50"/>
  <c r="X3" i="48"/>
  <c r="Y3" i="48"/>
  <c r="Z3" i="48"/>
  <c r="AA3" i="48"/>
  <c r="AB3" i="48"/>
  <c r="AC3" i="48"/>
  <c r="AD3" i="48"/>
  <c r="AE3" i="48"/>
  <c r="AF3" i="48"/>
  <c r="AG3" i="48"/>
  <c r="AH3" i="48"/>
  <c r="AI3" i="48"/>
  <c r="X4" i="48"/>
  <c r="Y4" i="48"/>
  <c r="Z4" i="48"/>
  <c r="AA4" i="48"/>
  <c r="AB4" i="48"/>
  <c r="AC4" i="48"/>
  <c r="AD4" i="48"/>
  <c r="AE4" i="48"/>
  <c r="AF4" i="48"/>
  <c r="AG4" i="48"/>
  <c r="AH4" i="48"/>
  <c r="AI4" i="48"/>
  <c r="X5" i="48"/>
  <c r="Y5" i="48"/>
  <c r="Z5" i="48"/>
  <c r="AA5" i="48"/>
  <c r="AB5" i="48"/>
  <c r="AC5" i="48"/>
  <c r="AD5" i="48"/>
  <c r="AE5" i="48"/>
  <c r="AF5" i="48"/>
  <c r="AG5" i="48"/>
  <c r="AH5" i="48"/>
  <c r="AI5" i="48"/>
  <c r="X6" i="48"/>
  <c r="Y6" i="48"/>
  <c r="Z6" i="48"/>
  <c r="AA6" i="48"/>
  <c r="AB6" i="48"/>
  <c r="AC6" i="48"/>
  <c r="AD6" i="48"/>
  <c r="AE6" i="48"/>
  <c r="AF6" i="48"/>
  <c r="AG6" i="48"/>
  <c r="AH6" i="48"/>
  <c r="AI6" i="48"/>
  <c r="X7" i="48"/>
  <c r="Y7" i="48"/>
  <c r="Z7" i="48"/>
  <c r="AA7" i="48"/>
  <c r="AB7" i="48"/>
  <c r="AC7" i="48"/>
  <c r="AD7" i="48"/>
  <c r="AE7" i="48"/>
  <c r="AF7" i="48"/>
  <c r="AG7" i="48"/>
  <c r="AH7" i="48"/>
  <c r="AI7" i="48"/>
  <c r="X8" i="48"/>
  <c r="Y8" i="48"/>
  <c r="Z8" i="48"/>
  <c r="AA8" i="48"/>
  <c r="AB8" i="48"/>
  <c r="AC8" i="48"/>
  <c r="AD8" i="48"/>
  <c r="AE8" i="48"/>
  <c r="AF8" i="48"/>
  <c r="AG8" i="48"/>
  <c r="AH8" i="48"/>
  <c r="AI8" i="48"/>
  <c r="X9" i="48"/>
  <c r="Y9" i="48"/>
  <c r="Z9" i="48"/>
  <c r="AA9" i="48"/>
  <c r="AB9" i="48"/>
  <c r="AC9" i="48"/>
  <c r="AD9" i="48"/>
  <c r="AE9" i="48"/>
  <c r="AF9" i="48"/>
  <c r="AG9" i="48"/>
  <c r="AH9" i="48"/>
  <c r="AI9" i="48"/>
  <c r="X10" i="48"/>
  <c r="Y10" i="48"/>
  <c r="Z10" i="48"/>
  <c r="AA10" i="48"/>
  <c r="AB10" i="48"/>
  <c r="AC10" i="48"/>
  <c r="AD10" i="48"/>
  <c r="AE10" i="48"/>
  <c r="AF10" i="48"/>
  <c r="AG10" i="48"/>
  <c r="AH10" i="48"/>
  <c r="AI10" i="48"/>
  <c r="X11" i="48"/>
  <c r="Y11" i="48"/>
  <c r="Z11" i="48"/>
  <c r="AA11" i="48"/>
  <c r="AB11" i="48"/>
  <c r="AC11" i="48"/>
  <c r="AD11" i="48"/>
  <c r="AE11" i="48"/>
  <c r="AF11" i="48"/>
  <c r="AG11" i="48"/>
  <c r="AH11" i="48"/>
  <c r="AI11" i="48"/>
  <c r="X12" i="48"/>
  <c r="Y12" i="48"/>
  <c r="Z12" i="48"/>
  <c r="AA12" i="48"/>
  <c r="AB12" i="48"/>
  <c r="AC12" i="48"/>
  <c r="AD12" i="48"/>
  <c r="AE12" i="48"/>
  <c r="AF12" i="48"/>
  <c r="AG12" i="48"/>
  <c r="AH12" i="48"/>
  <c r="AI12" i="48"/>
  <c r="Y2" i="48"/>
  <c r="Z2" i="48"/>
  <c r="AA2" i="48"/>
  <c r="AB2" i="48"/>
  <c r="AC2" i="48"/>
  <c r="AD2" i="48"/>
  <c r="AE2" i="48"/>
  <c r="AF2" i="48"/>
  <c r="AG2" i="48"/>
  <c r="AH2" i="48"/>
  <c r="AI2" i="48"/>
  <c r="X2" i="48"/>
  <c r="Y1" i="48"/>
  <c r="Z1" i="48"/>
  <c r="AA1" i="48"/>
  <c r="AB1" i="48"/>
  <c r="AC1" i="48"/>
  <c r="AD1" i="48"/>
  <c r="AE1" i="48"/>
  <c r="AF1" i="48"/>
  <c r="AG1" i="48"/>
  <c r="AH1" i="48"/>
  <c r="AI1" i="48"/>
  <c r="X1" i="48"/>
  <c r="X3" i="49"/>
  <c r="Y3" i="49"/>
  <c r="Z3" i="49"/>
  <c r="AA3" i="49"/>
  <c r="AB3" i="49"/>
  <c r="AC3" i="49"/>
  <c r="AD3" i="49"/>
  <c r="AE3" i="49"/>
  <c r="AF3" i="49"/>
  <c r="AG3" i="49"/>
  <c r="AH3" i="49"/>
  <c r="AI3" i="49"/>
  <c r="X4" i="49"/>
  <c r="Y4" i="49"/>
  <c r="Z4" i="49"/>
  <c r="AA4" i="49"/>
  <c r="AB4" i="49"/>
  <c r="AC4" i="49"/>
  <c r="AD4" i="49"/>
  <c r="AE4" i="49"/>
  <c r="AF4" i="49"/>
  <c r="AG4" i="49"/>
  <c r="AH4" i="49"/>
  <c r="AI4" i="49"/>
  <c r="X5" i="49"/>
  <c r="Y5" i="49"/>
  <c r="Z5" i="49"/>
  <c r="AA5" i="49"/>
  <c r="AB5" i="49"/>
  <c r="AC5" i="49"/>
  <c r="AD5" i="49"/>
  <c r="AE5" i="49"/>
  <c r="AF5" i="49"/>
  <c r="AG5" i="49"/>
  <c r="AH5" i="49"/>
  <c r="AI5" i="49"/>
  <c r="X6" i="49"/>
  <c r="Y6" i="49"/>
  <c r="Z6" i="49"/>
  <c r="AA6" i="49"/>
  <c r="AB6" i="49"/>
  <c r="AC6" i="49"/>
  <c r="AD6" i="49"/>
  <c r="AE6" i="49"/>
  <c r="AF6" i="49"/>
  <c r="AG6" i="49"/>
  <c r="AH6" i="49"/>
  <c r="AI6" i="49"/>
  <c r="X7" i="49"/>
  <c r="Y7" i="49"/>
  <c r="Z7" i="49"/>
  <c r="AA7" i="49"/>
  <c r="AB7" i="49"/>
  <c r="AC7" i="49"/>
  <c r="AD7" i="49"/>
  <c r="AE7" i="49"/>
  <c r="AF7" i="49"/>
  <c r="AG7" i="49"/>
  <c r="AH7" i="49"/>
  <c r="AI7" i="49"/>
  <c r="X8" i="49"/>
  <c r="Y8" i="49"/>
  <c r="Z8" i="49"/>
  <c r="AA8" i="49"/>
  <c r="AB8" i="49"/>
  <c r="AC8" i="49"/>
  <c r="AD8" i="49"/>
  <c r="AE8" i="49"/>
  <c r="AF8" i="49"/>
  <c r="AG8" i="49"/>
  <c r="AH8" i="49"/>
  <c r="AI8" i="49"/>
  <c r="Y1" i="49"/>
  <c r="Z1" i="49"/>
  <c r="AA1" i="49"/>
  <c r="AB1" i="49"/>
  <c r="AC1" i="49"/>
  <c r="AD1" i="49"/>
  <c r="AE1" i="49"/>
  <c r="AF1" i="49"/>
  <c r="AG1" i="49"/>
  <c r="AH1" i="49"/>
  <c r="AI1" i="49"/>
  <c r="Y2" i="49"/>
  <c r="Z2" i="49"/>
  <c r="AA2" i="49"/>
  <c r="AB2" i="49"/>
  <c r="AC2" i="49"/>
  <c r="AD2" i="49"/>
  <c r="AE2" i="49"/>
  <c r="AF2" i="49"/>
  <c r="AG2" i="49"/>
  <c r="AH2" i="49"/>
  <c r="AI2" i="49"/>
  <c r="X2" i="49"/>
  <c r="X1" i="49"/>
  <c r="Y1" i="50"/>
  <c r="Z1" i="50"/>
  <c r="AA1" i="50"/>
  <c r="AB1" i="50"/>
  <c r="AC1" i="50"/>
  <c r="AD1" i="50"/>
  <c r="AE1" i="50"/>
  <c r="AF1" i="50"/>
  <c r="AG1" i="50"/>
  <c r="AH1" i="50"/>
  <c r="AI1" i="50"/>
  <c r="Y2" i="50"/>
  <c r="Z2" i="50"/>
  <c r="AA2" i="50"/>
  <c r="AB2" i="50"/>
  <c r="AC2" i="50"/>
  <c r="AD2" i="50"/>
  <c r="AE2" i="50"/>
  <c r="AF2" i="50"/>
  <c r="AG2" i="50"/>
  <c r="AH2" i="50"/>
  <c r="AI2" i="50"/>
  <c r="X7" i="25"/>
  <c r="Y7" i="25"/>
  <c r="Z7" i="25"/>
  <c r="AA7" i="25"/>
  <c r="AB7" i="25"/>
  <c r="AC7" i="25"/>
  <c r="AD7" i="25"/>
  <c r="AE7" i="25"/>
  <c r="AF7" i="25"/>
  <c r="AG7" i="25"/>
  <c r="AH7" i="25"/>
  <c r="X8" i="25"/>
  <c r="Y8" i="25"/>
  <c r="Z8" i="25"/>
  <c r="AA8" i="25"/>
  <c r="AB8" i="25"/>
  <c r="AC8" i="25"/>
  <c r="AD8" i="25"/>
  <c r="AE8" i="25"/>
  <c r="AF8" i="25"/>
  <c r="AG8" i="25"/>
  <c r="AH8" i="25"/>
  <c r="W8" i="25"/>
  <c r="X6" i="25"/>
  <c r="Y6" i="25"/>
  <c r="Z6" i="25"/>
  <c r="AA6" i="25"/>
  <c r="AB6" i="25"/>
  <c r="AC6" i="25"/>
  <c r="AD6" i="25"/>
  <c r="AE6" i="25"/>
  <c r="AF6" i="25"/>
  <c r="AG6" i="25"/>
  <c r="AH6" i="25"/>
  <c r="X5" i="25"/>
  <c r="Y5" i="25"/>
  <c r="Z5" i="25"/>
  <c r="AA5" i="25"/>
  <c r="AB5" i="25"/>
  <c r="AC5" i="25"/>
  <c r="AD5" i="25"/>
  <c r="AE5" i="25"/>
  <c r="AF5" i="25"/>
  <c r="AG5" i="25"/>
  <c r="AH5" i="25"/>
  <c r="X4" i="25"/>
  <c r="Y4" i="25"/>
  <c r="Z4" i="25"/>
  <c r="AA4" i="25"/>
  <c r="AB4" i="25"/>
  <c r="AC4" i="25"/>
  <c r="AD4" i="25"/>
  <c r="AE4" i="25"/>
  <c r="AF4" i="25"/>
  <c r="AG4" i="25"/>
  <c r="AH4" i="25"/>
  <c r="X2" i="25"/>
  <c r="Y2" i="25"/>
  <c r="Z2" i="25"/>
  <c r="AA2" i="25"/>
  <c r="AB2" i="25"/>
  <c r="AC2" i="25"/>
  <c r="AD2" i="25"/>
  <c r="AE2" i="25"/>
  <c r="AF2" i="25"/>
  <c r="AG2" i="25"/>
  <c r="AH2" i="25"/>
  <c r="W2" i="25"/>
  <c r="X1" i="25"/>
  <c r="Y1" i="25"/>
  <c r="Z1" i="25"/>
  <c r="AA1" i="25"/>
  <c r="AB1" i="25"/>
  <c r="AC1" i="25"/>
  <c r="AD1" i="25"/>
  <c r="AE1" i="25"/>
  <c r="AF1" i="25"/>
  <c r="AG1" i="25"/>
  <c r="AH1" i="25"/>
  <c r="W1" i="25"/>
  <c r="X3" i="25"/>
  <c r="Y3" i="25"/>
  <c r="Z3" i="25"/>
  <c r="AA3" i="25"/>
  <c r="AB3" i="25"/>
  <c r="AC3" i="25"/>
  <c r="AD3" i="25"/>
  <c r="AE3" i="25"/>
  <c r="AF3" i="25"/>
  <c r="AG3" i="25"/>
  <c r="AH3" i="25"/>
  <c r="L22" i="41"/>
  <c r="D151" i="56" l="1"/>
  <c r="D150" i="56"/>
  <c r="W4" i="25"/>
  <c r="I21" i="56"/>
  <c r="W7" i="25"/>
  <c r="I25" i="56"/>
  <c r="D144" i="48"/>
  <c r="AH6" i="46"/>
  <c r="AH5" i="46"/>
  <c r="AG6" i="46"/>
  <c r="AG5" i="46"/>
  <c r="AB5" i="46"/>
  <c r="AA5" i="46"/>
  <c r="Z5" i="46"/>
  <c r="AI8" i="46"/>
  <c r="AD8" i="46"/>
  <c r="AB8" i="46"/>
  <c r="AC8" i="46"/>
  <c r="AC7" i="46"/>
  <c r="AB7" i="46"/>
  <c r="AB9" i="46"/>
  <c r="AB10" i="46"/>
  <c r="AA10" i="46"/>
  <c r="AA9" i="46"/>
  <c r="Y9" i="46"/>
  <c r="AB12" i="46"/>
  <c r="AB11" i="46"/>
  <c r="AA11" i="46"/>
  <c r="Y12" i="46"/>
  <c r="X12" i="46"/>
  <c r="AA13" i="46"/>
  <c r="AA14" i="46"/>
  <c r="Z14" i="46"/>
  <c r="Z13" i="46"/>
  <c r="Y14" i="46"/>
  <c r="AA1" i="46"/>
  <c r="AA2" i="46"/>
  <c r="Y1" i="46"/>
  <c r="W6" i="25"/>
  <c r="W5" i="25"/>
  <c r="L73" i="41"/>
  <c r="M73" i="41"/>
  <c r="N73" i="41"/>
  <c r="O73" i="41"/>
  <c r="P73" i="41"/>
  <c r="Q73" i="41"/>
  <c r="R73" i="41"/>
  <c r="S73" i="41"/>
  <c r="T73" i="41"/>
  <c r="U73" i="41"/>
  <c r="V73" i="41"/>
  <c r="W73" i="41"/>
  <c r="L74" i="41"/>
  <c r="M74" i="41"/>
  <c r="N74" i="41"/>
  <c r="O74" i="41"/>
  <c r="P74" i="41"/>
  <c r="Q74" i="41"/>
  <c r="R74" i="41"/>
  <c r="S74" i="41"/>
  <c r="T74" i="41"/>
  <c r="U74" i="41"/>
  <c r="V74" i="41"/>
  <c r="W74" i="41"/>
  <c r="L75" i="41"/>
  <c r="M75" i="41"/>
  <c r="N75" i="41"/>
  <c r="O75" i="41"/>
  <c r="P75" i="41"/>
  <c r="Q75" i="41"/>
  <c r="R75" i="41"/>
  <c r="S75" i="41"/>
  <c r="T75" i="41"/>
  <c r="U75" i="41"/>
  <c r="V75" i="41"/>
  <c r="W75" i="41"/>
  <c r="L76" i="41"/>
  <c r="M76" i="41"/>
  <c r="N76" i="41"/>
  <c r="O76" i="41"/>
  <c r="P76" i="41"/>
  <c r="Q76" i="41"/>
  <c r="R76" i="41"/>
  <c r="S76" i="41"/>
  <c r="T76" i="41"/>
  <c r="U76" i="41"/>
  <c r="V76" i="41"/>
  <c r="W76" i="41"/>
  <c r="M71" i="41"/>
  <c r="N71" i="41"/>
  <c r="O71" i="41"/>
  <c r="P71" i="41"/>
  <c r="Q71" i="41"/>
  <c r="R71" i="41"/>
  <c r="S71" i="41"/>
  <c r="T71" i="41"/>
  <c r="U71" i="41"/>
  <c r="V71" i="41"/>
  <c r="W71" i="41"/>
  <c r="M72" i="41"/>
  <c r="N72" i="41"/>
  <c r="O72" i="41"/>
  <c r="P72" i="41"/>
  <c r="Q72" i="41"/>
  <c r="R72" i="41"/>
  <c r="S72" i="41"/>
  <c r="T72" i="41"/>
  <c r="U72" i="41"/>
  <c r="V72" i="41"/>
  <c r="W72" i="41"/>
  <c r="L72" i="41"/>
  <c r="L71" i="41"/>
  <c r="C75" i="41"/>
  <c r="E75" i="41"/>
  <c r="F75" i="41"/>
  <c r="G75" i="41"/>
  <c r="H75" i="41"/>
  <c r="I75" i="41"/>
  <c r="J75" i="41"/>
  <c r="C73" i="41"/>
  <c r="E73" i="41"/>
  <c r="F73" i="41"/>
  <c r="G73" i="41"/>
  <c r="H73" i="41"/>
  <c r="I73" i="41"/>
  <c r="J73" i="41"/>
  <c r="E71" i="41"/>
  <c r="F71" i="41"/>
  <c r="G71" i="41"/>
  <c r="H71" i="41"/>
  <c r="I71" i="41"/>
  <c r="J71" i="41"/>
  <c r="C71" i="41"/>
  <c r="H26" i="52"/>
  <c r="AC9" i="46" l="1"/>
  <c r="AC10" i="46"/>
  <c r="AC12" i="46"/>
  <c r="AC11" i="46"/>
  <c r="AB14" i="46"/>
  <c r="AB13" i="46"/>
  <c r="AB1" i="46"/>
  <c r="AB2" i="46"/>
  <c r="L81" i="41"/>
  <c r="M81" i="41"/>
  <c r="N81" i="41"/>
  <c r="O81" i="41"/>
  <c r="P81" i="41"/>
  <c r="Q81" i="41"/>
  <c r="R81" i="41"/>
  <c r="S81" i="41"/>
  <c r="T81" i="41"/>
  <c r="U81" i="41"/>
  <c r="V81" i="41"/>
  <c r="W81" i="41"/>
  <c r="L82" i="41"/>
  <c r="M82" i="41"/>
  <c r="N82" i="41"/>
  <c r="O82" i="41"/>
  <c r="P82" i="41"/>
  <c r="Q82" i="41"/>
  <c r="R82" i="41"/>
  <c r="S82" i="41"/>
  <c r="T82" i="41"/>
  <c r="U82" i="41"/>
  <c r="V82" i="41"/>
  <c r="W82" i="41"/>
  <c r="L83" i="41"/>
  <c r="M83" i="41"/>
  <c r="N83" i="41"/>
  <c r="O83" i="41"/>
  <c r="P83" i="41"/>
  <c r="Q83" i="41"/>
  <c r="R83" i="41"/>
  <c r="S83" i="41"/>
  <c r="T83" i="41"/>
  <c r="U83" i="41"/>
  <c r="V83" i="41"/>
  <c r="W83" i="41"/>
  <c r="L84" i="41"/>
  <c r="M84" i="41"/>
  <c r="N84" i="41"/>
  <c r="O84" i="41"/>
  <c r="P84" i="41"/>
  <c r="Q84" i="41"/>
  <c r="R84" i="41"/>
  <c r="S84" i="41"/>
  <c r="T84" i="41"/>
  <c r="U84" i="41"/>
  <c r="V84" i="41"/>
  <c r="W84" i="41"/>
  <c r="M79" i="41"/>
  <c r="N79" i="41"/>
  <c r="O79" i="41"/>
  <c r="P79" i="41"/>
  <c r="Q79" i="41"/>
  <c r="R79" i="41"/>
  <c r="S79" i="41"/>
  <c r="T79" i="41"/>
  <c r="U79" i="41"/>
  <c r="V79" i="41"/>
  <c r="W79" i="41"/>
  <c r="M80" i="41"/>
  <c r="N80" i="41"/>
  <c r="O80" i="41"/>
  <c r="P80" i="41"/>
  <c r="Q80" i="41"/>
  <c r="R80" i="41"/>
  <c r="S80" i="41"/>
  <c r="T80" i="41"/>
  <c r="U80" i="41"/>
  <c r="V80" i="41"/>
  <c r="W80" i="41"/>
  <c r="L80" i="41"/>
  <c r="L79" i="41"/>
  <c r="L67" i="41"/>
  <c r="M67" i="41"/>
  <c r="N67" i="41"/>
  <c r="O67" i="41"/>
  <c r="P67" i="41"/>
  <c r="Q67" i="41"/>
  <c r="R67" i="41"/>
  <c r="S67" i="41"/>
  <c r="T67" i="41"/>
  <c r="U67" i="41"/>
  <c r="V67" i="41"/>
  <c r="W67" i="41"/>
  <c r="L68" i="41"/>
  <c r="M68" i="41"/>
  <c r="N68" i="41"/>
  <c r="O68" i="41"/>
  <c r="P68" i="41"/>
  <c r="Q68" i="41"/>
  <c r="R68" i="41"/>
  <c r="S68" i="41"/>
  <c r="T68" i="41"/>
  <c r="U68" i="41"/>
  <c r="V68" i="41"/>
  <c r="W68" i="41"/>
  <c r="L69" i="41"/>
  <c r="M69" i="41"/>
  <c r="N69" i="41"/>
  <c r="O69" i="41"/>
  <c r="P69" i="41"/>
  <c r="Q69" i="41"/>
  <c r="R69" i="41"/>
  <c r="S69" i="41"/>
  <c r="T69" i="41"/>
  <c r="U69" i="41"/>
  <c r="V69" i="41"/>
  <c r="W69" i="41"/>
  <c r="L70" i="41"/>
  <c r="M70" i="41"/>
  <c r="N70" i="41"/>
  <c r="O70" i="41"/>
  <c r="P70" i="41"/>
  <c r="Q70" i="41"/>
  <c r="R70" i="41"/>
  <c r="S70" i="41"/>
  <c r="T70" i="41"/>
  <c r="U70" i="41"/>
  <c r="V70" i="41"/>
  <c r="W70" i="41"/>
  <c r="M65" i="41"/>
  <c r="N65" i="41"/>
  <c r="O65" i="41"/>
  <c r="P65" i="41"/>
  <c r="Q65" i="41"/>
  <c r="R65" i="41"/>
  <c r="S65" i="41"/>
  <c r="T65" i="41"/>
  <c r="U65" i="41"/>
  <c r="V65" i="41"/>
  <c r="W65" i="41"/>
  <c r="M66" i="41"/>
  <c r="N66" i="41"/>
  <c r="O66" i="41"/>
  <c r="P66" i="41"/>
  <c r="Q66" i="41"/>
  <c r="R66" i="41"/>
  <c r="S66" i="41"/>
  <c r="T66" i="41"/>
  <c r="U66" i="41"/>
  <c r="V66" i="41"/>
  <c r="W66" i="41"/>
  <c r="L66" i="41"/>
  <c r="L65" i="41"/>
  <c r="L61" i="41"/>
  <c r="M61" i="41"/>
  <c r="N61" i="41"/>
  <c r="O61" i="41"/>
  <c r="P61" i="41"/>
  <c r="Q61" i="41"/>
  <c r="R61" i="41"/>
  <c r="S61" i="41"/>
  <c r="T61" i="41"/>
  <c r="U61" i="41"/>
  <c r="V61" i="41"/>
  <c r="W61" i="41"/>
  <c r="L62" i="41"/>
  <c r="M62" i="41"/>
  <c r="N62" i="41"/>
  <c r="O62" i="41"/>
  <c r="P62" i="41"/>
  <c r="Q62" i="41"/>
  <c r="R62" i="41"/>
  <c r="S62" i="41"/>
  <c r="T62" i="41"/>
  <c r="U62" i="41"/>
  <c r="V62" i="41"/>
  <c r="W62" i="41"/>
  <c r="L63" i="41"/>
  <c r="M63" i="41"/>
  <c r="N63" i="41"/>
  <c r="O63" i="41"/>
  <c r="P63" i="41"/>
  <c r="Q63" i="41"/>
  <c r="R63" i="41"/>
  <c r="S63" i="41"/>
  <c r="T63" i="41"/>
  <c r="U63" i="41"/>
  <c r="V63" i="41"/>
  <c r="W63" i="41"/>
  <c r="L64" i="41"/>
  <c r="M64" i="41"/>
  <c r="N64" i="41"/>
  <c r="O64" i="41"/>
  <c r="P64" i="41"/>
  <c r="Q64" i="41"/>
  <c r="R64" i="41"/>
  <c r="S64" i="41"/>
  <c r="T64" i="41"/>
  <c r="U64" i="41"/>
  <c r="V64" i="41"/>
  <c r="W64" i="41"/>
  <c r="M59" i="41"/>
  <c r="N59" i="41"/>
  <c r="O59" i="41"/>
  <c r="P59" i="41"/>
  <c r="Q59" i="41"/>
  <c r="R59" i="41"/>
  <c r="S59" i="41"/>
  <c r="T59" i="41"/>
  <c r="U59" i="41"/>
  <c r="V59" i="41"/>
  <c r="W59" i="41"/>
  <c r="M60" i="41"/>
  <c r="N60" i="41"/>
  <c r="O60" i="41"/>
  <c r="P60" i="41"/>
  <c r="Q60" i="41"/>
  <c r="R60" i="41"/>
  <c r="S60" i="41"/>
  <c r="T60" i="41"/>
  <c r="U60" i="41"/>
  <c r="V60" i="41"/>
  <c r="W60" i="41"/>
  <c r="L60" i="41"/>
  <c r="M57" i="41"/>
  <c r="N57" i="41"/>
  <c r="O57" i="41"/>
  <c r="P57" i="41"/>
  <c r="Q57" i="41"/>
  <c r="R57" i="41"/>
  <c r="S57" i="41"/>
  <c r="T57" i="41"/>
  <c r="U57" i="41"/>
  <c r="V57" i="41"/>
  <c r="W57" i="41"/>
  <c r="M58" i="41"/>
  <c r="N58" i="41"/>
  <c r="O58" i="41"/>
  <c r="P58" i="41"/>
  <c r="Q58" i="41"/>
  <c r="R58" i="41"/>
  <c r="S58" i="41"/>
  <c r="T58" i="41"/>
  <c r="U58" i="41"/>
  <c r="V58" i="41"/>
  <c r="W58" i="41"/>
  <c r="L59" i="41"/>
  <c r="L58" i="41"/>
  <c r="L57" i="41"/>
  <c r="M55" i="41"/>
  <c r="N55" i="41"/>
  <c r="O55" i="41"/>
  <c r="P55" i="41"/>
  <c r="Q55" i="41"/>
  <c r="R55" i="41"/>
  <c r="S55" i="41"/>
  <c r="T55" i="41"/>
  <c r="U55" i="41"/>
  <c r="V55" i="41"/>
  <c r="W55" i="41"/>
  <c r="M56" i="41"/>
  <c r="N56" i="41"/>
  <c r="O56" i="41"/>
  <c r="P56" i="41"/>
  <c r="Q56" i="41"/>
  <c r="R56" i="41"/>
  <c r="S56" i="41"/>
  <c r="T56" i="41"/>
  <c r="U56" i="41"/>
  <c r="V56" i="41"/>
  <c r="W56" i="41"/>
  <c r="L56" i="41"/>
  <c r="L55" i="41"/>
  <c r="M53" i="41"/>
  <c r="N53" i="41"/>
  <c r="O53" i="41"/>
  <c r="P53" i="41"/>
  <c r="Q53" i="41"/>
  <c r="R53" i="41"/>
  <c r="S53" i="41"/>
  <c r="T53" i="41"/>
  <c r="U53" i="41"/>
  <c r="V53" i="41"/>
  <c r="W53" i="41"/>
  <c r="M54" i="41"/>
  <c r="N54" i="41"/>
  <c r="O54" i="41"/>
  <c r="P54" i="41"/>
  <c r="Q54" i="41"/>
  <c r="R54" i="41"/>
  <c r="S54" i="41"/>
  <c r="T54" i="41"/>
  <c r="U54" i="41"/>
  <c r="V54" i="41"/>
  <c r="W54" i="41"/>
  <c r="L54" i="41"/>
  <c r="L53" i="41"/>
  <c r="L49" i="41"/>
  <c r="M49" i="41"/>
  <c r="N49" i="41"/>
  <c r="O49" i="41"/>
  <c r="P49" i="41"/>
  <c r="Q49" i="41"/>
  <c r="R49" i="41"/>
  <c r="S49" i="41"/>
  <c r="T49" i="41"/>
  <c r="U49" i="41"/>
  <c r="V49" i="41"/>
  <c r="W49" i="41"/>
  <c r="L50" i="41"/>
  <c r="M50" i="41"/>
  <c r="N50" i="41"/>
  <c r="O50" i="41"/>
  <c r="P50" i="41"/>
  <c r="Q50" i="41"/>
  <c r="R50" i="41"/>
  <c r="S50" i="41"/>
  <c r="T50" i="41"/>
  <c r="U50" i="41"/>
  <c r="V50" i="41"/>
  <c r="W50" i="41"/>
  <c r="L51" i="41"/>
  <c r="W51" i="41"/>
  <c r="L52" i="41"/>
  <c r="M52" i="41"/>
  <c r="N52" i="41"/>
  <c r="O52" i="41"/>
  <c r="P52" i="41"/>
  <c r="Q52" i="41"/>
  <c r="R52" i="41"/>
  <c r="S52" i="41"/>
  <c r="T52" i="41"/>
  <c r="U52" i="41"/>
  <c r="V52" i="41"/>
  <c r="W52" i="41"/>
  <c r="M47" i="41"/>
  <c r="N47" i="41"/>
  <c r="O47" i="41"/>
  <c r="P47" i="41"/>
  <c r="Q47" i="41"/>
  <c r="R47" i="41"/>
  <c r="S47" i="41"/>
  <c r="T47" i="41"/>
  <c r="U47" i="41"/>
  <c r="V47" i="41"/>
  <c r="W47" i="41"/>
  <c r="M48" i="41"/>
  <c r="N48" i="41"/>
  <c r="O48" i="41"/>
  <c r="P48" i="41"/>
  <c r="Q48" i="41"/>
  <c r="R48" i="41"/>
  <c r="S48" i="41"/>
  <c r="T48" i="41"/>
  <c r="U48" i="41"/>
  <c r="V48" i="41"/>
  <c r="W48" i="41"/>
  <c r="L48" i="41"/>
  <c r="L47" i="41"/>
  <c r="L43" i="41"/>
  <c r="M43" i="41"/>
  <c r="N43" i="41"/>
  <c r="O43" i="41"/>
  <c r="P43" i="41"/>
  <c r="Q43" i="41"/>
  <c r="R43" i="41"/>
  <c r="S43" i="41"/>
  <c r="T43" i="41"/>
  <c r="U43" i="41"/>
  <c r="V43" i="41"/>
  <c r="W43" i="41"/>
  <c r="L44" i="41"/>
  <c r="M44" i="41"/>
  <c r="N44" i="41"/>
  <c r="O44" i="41"/>
  <c r="P44" i="41"/>
  <c r="Q44" i="41"/>
  <c r="R44" i="41"/>
  <c r="S44" i="41"/>
  <c r="T44" i="41"/>
  <c r="U44" i="41"/>
  <c r="V44" i="41"/>
  <c r="W44" i="41"/>
  <c r="L45" i="41"/>
  <c r="M45" i="41"/>
  <c r="N45" i="41"/>
  <c r="O45" i="41"/>
  <c r="P45" i="41"/>
  <c r="Q45" i="41"/>
  <c r="R45" i="41"/>
  <c r="S45" i="41"/>
  <c r="T45" i="41"/>
  <c r="U45" i="41"/>
  <c r="V45" i="41"/>
  <c r="W45" i="41"/>
  <c r="L46" i="41"/>
  <c r="M46" i="41"/>
  <c r="N46" i="41"/>
  <c r="O46" i="41"/>
  <c r="P46" i="41"/>
  <c r="Q46" i="41"/>
  <c r="R46" i="41"/>
  <c r="S46" i="41"/>
  <c r="T46" i="41"/>
  <c r="U46" i="41"/>
  <c r="V46" i="41"/>
  <c r="W46" i="41"/>
  <c r="M41" i="41"/>
  <c r="N41" i="41"/>
  <c r="O41" i="41"/>
  <c r="P41" i="41"/>
  <c r="Q41" i="41"/>
  <c r="R41" i="41"/>
  <c r="S41" i="41"/>
  <c r="T41" i="41"/>
  <c r="U41" i="41"/>
  <c r="V41" i="41"/>
  <c r="W41" i="41"/>
  <c r="M42" i="41"/>
  <c r="N42" i="41"/>
  <c r="O42" i="41"/>
  <c r="P42" i="41"/>
  <c r="Q42" i="41"/>
  <c r="R42" i="41"/>
  <c r="S42" i="41"/>
  <c r="T42" i="41"/>
  <c r="U42" i="41"/>
  <c r="V42" i="41"/>
  <c r="W42" i="41"/>
  <c r="L42" i="41"/>
  <c r="L41" i="41"/>
  <c r="L37" i="41"/>
  <c r="M37" i="41"/>
  <c r="N37" i="41"/>
  <c r="O37" i="41"/>
  <c r="P37" i="41"/>
  <c r="Q37" i="41"/>
  <c r="R37" i="41"/>
  <c r="S37" i="41"/>
  <c r="T37" i="41"/>
  <c r="U37" i="41"/>
  <c r="V37" i="41"/>
  <c r="W37" i="41"/>
  <c r="L38" i="41"/>
  <c r="M38" i="41"/>
  <c r="N38" i="41"/>
  <c r="O38" i="41"/>
  <c r="P38" i="41"/>
  <c r="Q38" i="41"/>
  <c r="R38" i="41"/>
  <c r="S38" i="41"/>
  <c r="T38" i="41"/>
  <c r="U38" i="41"/>
  <c r="V38" i="41"/>
  <c r="W38" i="41"/>
  <c r="L39" i="41"/>
  <c r="M39" i="41"/>
  <c r="N39" i="41"/>
  <c r="O39" i="41"/>
  <c r="P39" i="41"/>
  <c r="Q39" i="41"/>
  <c r="R39" i="41"/>
  <c r="S39" i="41"/>
  <c r="T39" i="41"/>
  <c r="U39" i="41"/>
  <c r="V39" i="41"/>
  <c r="W39" i="41"/>
  <c r="L40" i="41"/>
  <c r="M40" i="41"/>
  <c r="N40" i="41"/>
  <c r="O40" i="41"/>
  <c r="P40" i="41"/>
  <c r="Q40" i="41"/>
  <c r="R40" i="41"/>
  <c r="S40" i="41"/>
  <c r="T40" i="41"/>
  <c r="U40" i="41"/>
  <c r="V40" i="41"/>
  <c r="W40" i="41"/>
  <c r="M35" i="41"/>
  <c r="N35" i="41"/>
  <c r="O35" i="41"/>
  <c r="P35" i="41"/>
  <c r="Q35" i="41"/>
  <c r="R35" i="41"/>
  <c r="S35" i="41"/>
  <c r="T35" i="41"/>
  <c r="U35" i="41"/>
  <c r="V35" i="41"/>
  <c r="W35" i="41"/>
  <c r="M36" i="41"/>
  <c r="N36" i="41"/>
  <c r="O36" i="41"/>
  <c r="P36" i="41"/>
  <c r="Q36" i="41"/>
  <c r="R36" i="41"/>
  <c r="S36" i="41"/>
  <c r="T36" i="41"/>
  <c r="U36" i="41"/>
  <c r="V36" i="41"/>
  <c r="W36" i="41"/>
  <c r="L36" i="41"/>
  <c r="L35" i="41"/>
  <c r="L31" i="41"/>
  <c r="M31" i="41"/>
  <c r="N31" i="41"/>
  <c r="O31" i="41"/>
  <c r="P31" i="41"/>
  <c r="Q31" i="41"/>
  <c r="R31" i="41"/>
  <c r="S31" i="41"/>
  <c r="T31" i="41"/>
  <c r="U31" i="41"/>
  <c r="V31" i="41"/>
  <c r="W31" i="41"/>
  <c r="L32" i="41"/>
  <c r="M32" i="41"/>
  <c r="N32" i="41"/>
  <c r="O32" i="41"/>
  <c r="P32" i="41"/>
  <c r="Q32" i="41"/>
  <c r="R32" i="41"/>
  <c r="S32" i="41"/>
  <c r="T32" i="41"/>
  <c r="U32" i="41"/>
  <c r="V32" i="41"/>
  <c r="W32" i="41"/>
  <c r="L33" i="41"/>
  <c r="M33" i="41"/>
  <c r="N33" i="41"/>
  <c r="O33" i="41"/>
  <c r="P33" i="41"/>
  <c r="Q33" i="41"/>
  <c r="R33" i="41"/>
  <c r="S33" i="41"/>
  <c r="T33" i="41"/>
  <c r="U33" i="41"/>
  <c r="V33" i="41"/>
  <c r="W33" i="41"/>
  <c r="L34" i="41"/>
  <c r="M34" i="41"/>
  <c r="N34" i="41"/>
  <c r="O34" i="41"/>
  <c r="P34" i="41"/>
  <c r="Q34" i="41"/>
  <c r="R34" i="41"/>
  <c r="S34" i="41"/>
  <c r="T34" i="41"/>
  <c r="U34" i="41"/>
  <c r="V34" i="41"/>
  <c r="W34" i="41"/>
  <c r="L19" i="41"/>
  <c r="M19" i="41"/>
  <c r="N19" i="41"/>
  <c r="O19" i="41"/>
  <c r="P19" i="41"/>
  <c r="Q19" i="41"/>
  <c r="R19" i="41"/>
  <c r="S19" i="41"/>
  <c r="T19" i="41"/>
  <c r="U19" i="41"/>
  <c r="V19" i="41"/>
  <c r="W19" i="41"/>
  <c r="L20" i="41"/>
  <c r="M20" i="41"/>
  <c r="N20" i="41"/>
  <c r="O20" i="41"/>
  <c r="P20" i="41"/>
  <c r="Q20" i="41"/>
  <c r="R20" i="41"/>
  <c r="S20" i="41"/>
  <c r="T20" i="41"/>
  <c r="U20" i="41"/>
  <c r="V20" i="41"/>
  <c r="W20" i="41"/>
  <c r="L21" i="41"/>
  <c r="M21" i="41"/>
  <c r="N21" i="41"/>
  <c r="O21" i="41"/>
  <c r="P21" i="41"/>
  <c r="Q21" i="41"/>
  <c r="R21" i="41"/>
  <c r="S21" i="41"/>
  <c r="T21" i="41"/>
  <c r="U21" i="41"/>
  <c r="V21" i="41"/>
  <c r="W21" i="41"/>
  <c r="M22" i="41"/>
  <c r="N22" i="41"/>
  <c r="O22" i="41"/>
  <c r="P22" i="41"/>
  <c r="Q22" i="41"/>
  <c r="R22" i="41"/>
  <c r="S22" i="41"/>
  <c r="T22" i="41"/>
  <c r="U22" i="41"/>
  <c r="V22" i="41"/>
  <c r="W22" i="41"/>
  <c r="M17" i="41"/>
  <c r="N17" i="41"/>
  <c r="O17" i="41"/>
  <c r="P17" i="41"/>
  <c r="Q17" i="41"/>
  <c r="R17" i="41"/>
  <c r="S17" i="41"/>
  <c r="T17" i="41"/>
  <c r="U17" i="41"/>
  <c r="V17" i="41"/>
  <c r="W17" i="41"/>
  <c r="M18" i="41"/>
  <c r="N18" i="41"/>
  <c r="O18" i="41"/>
  <c r="P18" i="41"/>
  <c r="Q18" i="41"/>
  <c r="R18" i="41"/>
  <c r="S18" i="41"/>
  <c r="T18" i="41"/>
  <c r="U18" i="41"/>
  <c r="V18" i="41"/>
  <c r="W18" i="41"/>
  <c r="L18" i="41"/>
  <c r="L17" i="41"/>
  <c r="L15" i="41"/>
  <c r="M15" i="41"/>
  <c r="N15" i="41"/>
  <c r="O15" i="41"/>
  <c r="P15" i="41"/>
  <c r="Q15" i="41"/>
  <c r="R15" i="41"/>
  <c r="S15" i="41"/>
  <c r="T15" i="41"/>
  <c r="U15" i="41"/>
  <c r="V15" i="41"/>
  <c r="W15" i="41"/>
  <c r="L16" i="41"/>
  <c r="M16" i="41"/>
  <c r="N16" i="41"/>
  <c r="O16" i="41"/>
  <c r="P16" i="41"/>
  <c r="Q16" i="41"/>
  <c r="R16" i="41"/>
  <c r="S16" i="41"/>
  <c r="T16" i="41"/>
  <c r="U16" i="41"/>
  <c r="V16" i="41"/>
  <c r="W16" i="41"/>
  <c r="M13" i="41"/>
  <c r="N13" i="41"/>
  <c r="O13" i="41"/>
  <c r="P13" i="41"/>
  <c r="Q13" i="41"/>
  <c r="R13" i="41"/>
  <c r="S13" i="41"/>
  <c r="T13" i="41"/>
  <c r="U13" i="41"/>
  <c r="V13" i="41"/>
  <c r="W13" i="41"/>
  <c r="M14" i="41"/>
  <c r="N14" i="41"/>
  <c r="O14" i="41"/>
  <c r="P14" i="41"/>
  <c r="Q14" i="41"/>
  <c r="R14" i="41"/>
  <c r="S14" i="41"/>
  <c r="T14" i="41"/>
  <c r="U14" i="41"/>
  <c r="V14" i="41"/>
  <c r="W14" i="41"/>
  <c r="L14" i="41"/>
  <c r="L13" i="41"/>
  <c r="L9" i="41"/>
  <c r="M9" i="41"/>
  <c r="N9" i="41"/>
  <c r="O9" i="41"/>
  <c r="P9" i="41"/>
  <c r="Q9" i="41"/>
  <c r="R9" i="41"/>
  <c r="S9" i="41"/>
  <c r="T9" i="41"/>
  <c r="U9" i="41"/>
  <c r="V9" i="41"/>
  <c r="W9" i="41"/>
  <c r="L10" i="41"/>
  <c r="M10" i="41"/>
  <c r="N10" i="41"/>
  <c r="O10" i="41"/>
  <c r="P10" i="41"/>
  <c r="Q10" i="41"/>
  <c r="R10" i="41"/>
  <c r="S10" i="41"/>
  <c r="T10" i="41"/>
  <c r="U10" i="41"/>
  <c r="V10" i="41"/>
  <c r="W10" i="41"/>
  <c r="L11" i="41"/>
  <c r="M11" i="41"/>
  <c r="N11" i="41"/>
  <c r="O11" i="41"/>
  <c r="P11" i="41"/>
  <c r="Q11" i="41"/>
  <c r="R11" i="41"/>
  <c r="S11" i="41"/>
  <c r="T11" i="41"/>
  <c r="U11" i="41"/>
  <c r="V11" i="41"/>
  <c r="W11" i="41"/>
  <c r="L12" i="41"/>
  <c r="M12" i="41"/>
  <c r="N12" i="41"/>
  <c r="O12" i="41"/>
  <c r="P12" i="41"/>
  <c r="Q12" i="41"/>
  <c r="R12" i="41"/>
  <c r="S12" i="41"/>
  <c r="T12" i="41"/>
  <c r="U12" i="41"/>
  <c r="V12" i="41"/>
  <c r="W12" i="41"/>
  <c r="M7" i="41"/>
  <c r="N7" i="41"/>
  <c r="O7" i="41"/>
  <c r="P7" i="41"/>
  <c r="Q7" i="41"/>
  <c r="R7" i="41"/>
  <c r="S7" i="41"/>
  <c r="T7" i="41"/>
  <c r="U7" i="41"/>
  <c r="V7" i="41"/>
  <c r="W7" i="41"/>
  <c r="M8" i="41"/>
  <c r="N8" i="41"/>
  <c r="O8" i="41"/>
  <c r="P8" i="41"/>
  <c r="Q8" i="41"/>
  <c r="R8" i="41"/>
  <c r="S8" i="41"/>
  <c r="T8" i="41"/>
  <c r="U8" i="41"/>
  <c r="V8" i="41"/>
  <c r="W8" i="41"/>
  <c r="L8" i="41"/>
  <c r="L7" i="41"/>
  <c r="C83" i="41"/>
  <c r="E83" i="41"/>
  <c r="F83" i="41"/>
  <c r="G83" i="41"/>
  <c r="H83" i="41"/>
  <c r="I83" i="41"/>
  <c r="J83" i="41"/>
  <c r="C81" i="41"/>
  <c r="E81" i="41"/>
  <c r="F81" i="41"/>
  <c r="G81" i="41"/>
  <c r="H81" i="41"/>
  <c r="I81" i="41"/>
  <c r="J81" i="41"/>
  <c r="E79" i="41"/>
  <c r="F79" i="41"/>
  <c r="G79" i="41"/>
  <c r="H79" i="41"/>
  <c r="I79" i="41"/>
  <c r="J79" i="41"/>
  <c r="C79" i="41"/>
  <c r="C69" i="41"/>
  <c r="E69" i="41"/>
  <c r="F69" i="41"/>
  <c r="G69" i="41"/>
  <c r="H69" i="41"/>
  <c r="I69" i="41"/>
  <c r="J69" i="41"/>
  <c r="C67" i="41"/>
  <c r="E67" i="41"/>
  <c r="F67" i="41"/>
  <c r="G67" i="41"/>
  <c r="H67" i="41"/>
  <c r="I67" i="41"/>
  <c r="J67" i="41"/>
  <c r="E65" i="41"/>
  <c r="F65" i="41"/>
  <c r="G65" i="41"/>
  <c r="H65" i="41"/>
  <c r="I65" i="41"/>
  <c r="J65" i="41"/>
  <c r="C65" i="41"/>
  <c r="C63" i="41"/>
  <c r="E63" i="41"/>
  <c r="F63" i="41"/>
  <c r="G63" i="41"/>
  <c r="H63" i="41"/>
  <c r="I63" i="41"/>
  <c r="J63" i="41"/>
  <c r="C61" i="41"/>
  <c r="E61" i="41"/>
  <c r="F61" i="41"/>
  <c r="G61" i="41"/>
  <c r="H61" i="41"/>
  <c r="I61" i="41"/>
  <c r="J61" i="41"/>
  <c r="E59" i="41"/>
  <c r="F59" i="41"/>
  <c r="G59" i="41"/>
  <c r="H59" i="41"/>
  <c r="I59" i="41"/>
  <c r="J59" i="41"/>
  <c r="C59" i="41"/>
  <c r="C57" i="41"/>
  <c r="E57" i="41"/>
  <c r="F57" i="41"/>
  <c r="G57" i="41"/>
  <c r="H57" i="41"/>
  <c r="I57" i="41"/>
  <c r="J57" i="41"/>
  <c r="C55" i="41"/>
  <c r="E55" i="41"/>
  <c r="F55" i="41"/>
  <c r="G55" i="41"/>
  <c r="H55" i="41"/>
  <c r="I55" i="41"/>
  <c r="J55" i="41"/>
  <c r="E53" i="41"/>
  <c r="F53" i="41"/>
  <c r="G53" i="41"/>
  <c r="H53" i="41"/>
  <c r="I53" i="41"/>
  <c r="J53" i="41"/>
  <c r="C53" i="41"/>
  <c r="C51" i="41"/>
  <c r="E51" i="41"/>
  <c r="F51" i="41"/>
  <c r="G51" i="41"/>
  <c r="H51" i="41"/>
  <c r="I51" i="41"/>
  <c r="J51" i="41"/>
  <c r="C49" i="41"/>
  <c r="E49" i="41"/>
  <c r="F49" i="41"/>
  <c r="G49" i="41"/>
  <c r="H49" i="41"/>
  <c r="I49" i="41"/>
  <c r="J49" i="41"/>
  <c r="E47" i="41"/>
  <c r="F47" i="41"/>
  <c r="G47" i="41"/>
  <c r="H47" i="41"/>
  <c r="I47" i="41"/>
  <c r="J47" i="41"/>
  <c r="C47" i="41"/>
  <c r="C45" i="41"/>
  <c r="E45" i="41"/>
  <c r="F45" i="41"/>
  <c r="G45" i="41"/>
  <c r="H45" i="41"/>
  <c r="I45" i="41"/>
  <c r="J45" i="41"/>
  <c r="C43" i="41"/>
  <c r="E43" i="41"/>
  <c r="F43" i="41"/>
  <c r="G43" i="41"/>
  <c r="H43" i="41"/>
  <c r="I43" i="41"/>
  <c r="J43" i="41"/>
  <c r="E41" i="41"/>
  <c r="F41" i="41"/>
  <c r="G41" i="41"/>
  <c r="H41" i="41"/>
  <c r="I41" i="41"/>
  <c r="J41" i="41"/>
  <c r="C41" i="41"/>
  <c r="C39" i="41"/>
  <c r="E39" i="41"/>
  <c r="F39" i="41"/>
  <c r="G39" i="41"/>
  <c r="H39" i="41"/>
  <c r="I39" i="41"/>
  <c r="J39" i="41"/>
  <c r="C37" i="41"/>
  <c r="E37" i="41"/>
  <c r="F37" i="41"/>
  <c r="G37" i="41"/>
  <c r="H37" i="41"/>
  <c r="I37" i="41"/>
  <c r="J37" i="41"/>
  <c r="E35" i="41"/>
  <c r="F35" i="41"/>
  <c r="G35" i="41"/>
  <c r="H35" i="41"/>
  <c r="I35" i="41"/>
  <c r="J35" i="41"/>
  <c r="C35" i="41"/>
  <c r="C33" i="41"/>
  <c r="E33" i="41"/>
  <c r="F33" i="41"/>
  <c r="G33" i="41"/>
  <c r="H33" i="41"/>
  <c r="I33" i="41"/>
  <c r="J33" i="41"/>
  <c r="C31" i="41"/>
  <c r="E31" i="41"/>
  <c r="F31" i="41"/>
  <c r="G31" i="41"/>
  <c r="H31" i="41"/>
  <c r="I31" i="41"/>
  <c r="J31" i="41"/>
  <c r="C21" i="41"/>
  <c r="E21" i="41"/>
  <c r="F21" i="41"/>
  <c r="G21" i="41"/>
  <c r="H21" i="41"/>
  <c r="I21" i="41"/>
  <c r="J21" i="41"/>
  <c r="C19" i="41"/>
  <c r="E19" i="41"/>
  <c r="F19" i="41"/>
  <c r="G19" i="41"/>
  <c r="H19" i="41"/>
  <c r="I19" i="41"/>
  <c r="J19" i="41"/>
  <c r="E17" i="41"/>
  <c r="F17" i="41"/>
  <c r="G17" i="41"/>
  <c r="H17" i="41"/>
  <c r="I17" i="41"/>
  <c r="J17" i="41"/>
  <c r="C17" i="41"/>
  <c r="C15" i="41"/>
  <c r="E15" i="41"/>
  <c r="F15" i="41"/>
  <c r="G15" i="41"/>
  <c r="H15" i="41"/>
  <c r="I15" i="41"/>
  <c r="J15" i="41"/>
  <c r="E13" i="41"/>
  <c r="F13" i="41"/>
  <c r="G13" i="41"/>
  <c r="H13" i="41"/>
  <c r="I13" i="41"/>
  <c r="J13" i="41"/>
  <c r="C13" i="41"/>
  <c r="AD9" i="46" l="1"/>
  <c r="AD10" i="46"/>
  <c r="AD11" i="46"/>
  <c r="AD12" i="46"/>
  <c r="AC14" i="46"/>
  <c r="AC13" i="46"/>
  <c r="AC1" i="46"/>
  <c r="AC2" i="46"/>
  <c r="H22" i="49"/>
  <c r="H28" i="48"/>
  <c r="J10" i="48"/>
  <c r="H28" i="46"/>
  <c r="H26" i="43"/>
  <c r="T14" i="43"/>
  <c r="T127" i="56" s="1"/>
  <c r="S14" i="43"/>
  <c r="S127" i="56" s="1"/>
  <c r="R14" i="43"/>
  <c r="R127" i="56" s="1"/>
  <c r="Q14" i="43"/>
  <c r="O14" i="43"/>
  <c r="N14" i="43"/>
  <c r="M14" i="43"/>
  <c r="M127" i="56" s="1"/>
  <c r="L14" i="43"/>
  <c r="L127" i="56" s="1"/>
  <c r="K14" i="43"/>
  <c r="K127" i="56" s="1"/>
  <c r="J14" i="43"/>
  <c r="J127" i="56" s="1"/>
  <c r="I14" i="43"/>
  <c r="I127" i="56" s="1"/>
  <c r="D14" i="43"/>
  <c r="H28" i="42"/>
  <c r="O127" i="56" l="1"/>
  <c r="AD1" i="43"/>
  <c r="AD2" i="43"/>
  <c r="D128" i="56"/>
  <c r="D127" i="56"/>
  <c r="Q127" i="56"/>
  <c r="AF2" i="43"/>
  <c r="AF1" i="43"/>
  <c r="N127" i="56"/>
  <c r="AC1" i="43"/>
  <c r="AC2" i="43"/>
  <c r="AB1" i="43"/>
  <c r="AB2" i="43"/>
  <c r="AA1" i="43"/>
  <c r="AA2" i="43"/>
  <c r="Y1" i="43"/>
  <c r="Y2" i="43"/>
  <c r="Z1" i="43"/>
  <c r="Z2" i="43"/>
  <c r="AE9" i="46"/>
  <c r="AE10" i="46"/>
  <c r="AE12" i="46"/>
  <c r="AE11" i="46"/>
  <c r="AD14" i="46"/>
  <c r="AD13" i="46"/>
  <c r="AD1" i="46"/>
  <c r="AD2" i="46"/>
  <c r="X2" i="43"/>
  <c r="X1" i="43"/>
  <c r="K10" i="48"/>
  <c r="M51" i="41"/>
  <c r="AF10" i="46" l="1"/>
  <c r="AF9" i="46"/>
  <c r="AF12" i="46"/>
  <c r="AF11" i="46"/>
  <c r="AE13" i="46"/>
  <c r="AE14" i="46"/>
  <c r="AE1" i="46"/>
  <c r="AE2" i="46"/>
  <c r="L10" i="48"/>
  <c r="N51" i="41"/>
  <c r="C4" i="41"/>
  <c r="AG10" i="46" l="1"/>
  <c r="AG9" i="46"/>
  <c r="AG11" i="46"/>
  <c r="AG12" i="46"/>
  <c r="AF13" i="46"/>
  <c r="AF14" i="46"/>
  <c r="AF2" i="46"/>
  <c r="AF1" i="46"/>
  <c r="M10" i="48"/>
  <c r="O51" i="41"/>
  <c r="AH10" i="46" l="1"/>
  <c r="AH9" i="46"/>
  <c r="AH11" i="46"/>
  <c r="AH12" i="46"/>
  <c r="AG13" i="46"/>
  <c r="AG14" i="46"/>
  <c r="AG1" i="46"/>
  <c r="AG2" i="46"/>
  <c r="N10" i="48"/>
  <c r="P51" i="41"/>
  <c r="H22" i="25"/>
  <c r="AI9" i="46" l="1"/>
  <c r="AI10" i="46"/>
  <c r="AI12" i="46"/>
  <c r="AI11" i="46"/>
  <c r="AH13" i="46"/>
  <c r="AH14" i="46"/>
  <c r="AH1" i="46"/>
  <c r="AH2" i="46"/>
  <c r="O10" i="48"/>
  <c r="Q51" i="41"/>
  <c r="M21" i="2"/>
  <c r="L21" i="2"/>
  <c r="K21" i="2"/>
  <c r="J21" i="2"/>
  <c r="I21" i="2"/>
  <c r="M20" i="2"/>
  <c r="L20" i="2"/>
  <c r="K20" i="2"/>
  <c r="J20" i="2"/>
  <c r="I20" i="2"/>
  <c r="M19" i="2"/>
  <c r="L19" i="2"/>
  <c r="K19" i="2"/>
  <c r="J19" i="2"/>
  <c r="I19" i="2"/>
  <c r="M18" i="2"/>
  <c r="L18" i="2"/>
  <c r="K18" i="2"/>
  <c r="J18" i="2"/>
  <c r="I18" i="2"/>
  <c r="M17" i="2"/>
  <c r="L17" i="2"/>
  <c r="K17" i="2"/>
  <c r="J17" i="2"/>
  <c r="I17" i="2"/>
  <c r="M16" i="2"/>
  <c r="L16" i="2"/>
  <c r="K16" i="2"/>
  <c r="J16" i="2"/>
  <c r="I16" i="2"/>
  <c r="M15" i="2"/>
  <c r="L15" i="2"/>
  <c r="K15" i="2"/>
  <c r="J15" i="2"/>
  <c r="I15" i="2"/>
  <c r="M14" i="2"/>
  <c r="L14" i="2"/>
  <c r="K14" i="2"/>
  <c r="J14" i="2"/>
  <c r="I14" i="2"/>
  <c r="M13" i="2"/>
  <c r="L13" i="2"/>
  <c r="K13" i="2"/>
  <c r="J13" i="2"/>
  <c r="I13" i="2"/>
  <c r="M12" i="2"/>
  <c r="L12" i="2"/>
  <c r="K12" i="2"/>
  <c r="J12" i="2"/>
  <c r="I12" i="2"/>
  <c r="AI13" i="46" l="1"/>
  <c r="AI14" i="46"/>
  <c r="AI1" i="46"/>
  <c r="AI2" i="46"/>
  <c r="P10" i="48"/>
  <c r="R51" i="41"/>
  <c r="Q10" i="48" l="1"/>
  <c r="S51" i="41"/>
  <c r="R10" i="48" l="1"/>
  <c r="T51" i="41"/>
  <c r="S10" i="48" l="1"/>
  <c r="V51" i="41" s="1"/>
  <c r="U51" i="41"/>
  <c r="Y3" i="51" l="1"/>
  <c r="Y4" i="51"/>
  <c r="AC4" i="51"/>
  <c r="AH3" i="51"/>
  <c r="AA3" i="51"/>
  <c r="Z3" i="51"/>
  <c r="AD4" i="51"/>
  <c r="AF3" i="51"/>
  <c r="AG4" i="51"/>
  <c r="Z4" i="51"/>
  <c r="AC3" i="51"/>
  <c r="AA4" i="51"/>
  <c r="AE3" i="51"/>
  <c r="AG3" i="51"/>
  <c r="AD3" i="51"/>
  <c r="AB3" i="51"/>
  <c r="AF4" i="51"/>
  <c r="AB4" i="51"/>
  <c r="AI4" i="51"/>
  <c r="AH4" i="51"/>
  <c r="AI3" i="51"/>
  <c r="AE4" i="51"/>
  <c r="X4" i="5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Kumar, Sumit</author>
    <author>Paste, Sagar</author>
    <author>tc={6D18F918-B6B3-4526-A495-FB7D697D5C04}</author>
    <author>tc={76916F4A-4D0E-45BD-B6EF-1252588FC152}</author>
    <author>tc={8164785B-3A74-4AE8-9DE0-15728461F137}</author>
  </authors>
  <commentList>
    <comment ref="I7" authorId="0" shapeId="0" xr:uid="{36B7A7C4-7E03-402D-802A-BBF53C522904}">
      <text>
        <r>
          <rPr>
            <sz val="11"/>
            <color theme="1"/>
            <rFont val="Aptos Narrow"/>
            <family val="2"/>
            <scheme val="minor"/>
          </rPr>
          <t xml:space="preserve">Kumar, Sumit:
13 approval planned and we received 13 approvals
</t>
        </r>
      </text>
    </comment>
    <comment ref="J7" authorId="1" shapeId="0" xr:uid="{57AEBD06-0A7C-46C8-83F6-7B7BA8A562BB}">
      <text>
        <r>
          <rPr>
            <sz val="11"/>
            <color theme="1"/>
            <rFont val="Aptos Narrow"/>
            <family val="2"/>
            <scheme val="minor"/>
          </rPr>
          <t>Paste, Sagar:
6 of 6 planned approvals received</t>
        </r>
      </text>
    </comment>
    <comment ref="K7" authorId="1" shapeId="0" xr:uid="{91493BAA-F4E7-43BD-9C87-8B60EC49BF5F}">
      <text>
        <r>
          <rPr>
            <sz val="11"/>
            <color theme="1"/>
            <rFont val="Aptos Narrow"/>
            <family val="2"/>
            <scheme val="minor"/>
          </rPr>
          <t>8 out of 8 approvals received</t>
        </r>
      </text>
    </comment>
    <comment ref="L7" authorId="0" shapeId="0" xr:uid="{B1D73F0E-D7EE-41AD-BAA8-C1B30B221AD5}">
      <text>
        <r>
          <rPr>
            <b/>
            <sz val="9"/>
            <color indexed="81"/>
            <rFont val="Tahoma"/>
            <family val="2"/>
          </rPr>
          <t>Kumar, Sumit:</t>
        </r>
        <r>
          <rPr>
            <sz val="9"/>
            <color indexed="81"/>
            <rFont val="Tahoma"/>
            <family val="2"/>
          </rPr>
          <t xml:space="preserve">
License extention pending for Nigeria but not shipmnet block as submisison alredy done to Authority</t>
        </r>
      </text>
    </comment>
    <comment ref="M7" authorId="1" shapeId="0" xr:uid="{F21A68F1-0D14-4B4B-AF44-9ACF294E50D7}">
      <text>
        <r>
          <rPr>
            <sz val="11"/>
            <color theme="1"/>
            <rFont val="Aptos Narrow"/>
            <family val="2"/>
            <scheme val="minor"/>
          </rPr>
          <t>Paste, Sagar: Refer DMB
Pending
1 HN
Received
1 EU NOC, 1 AERB</t>
        </r>
      </text>
    </comment>
    <comment ref="O7" authorId="1" shapeId="0" xr:uid="{A6F12E95-71BB-45D1-A3C2-AE0A26011259}">
      <text>
        <r>
          <rPr>
            <sz val="11"/>
            <color theme="1"/>
            <rFont val="Aptos Narrow"/>
            <family val="2"/>
            <scheme val="minor"/>
          </rPr>
          <t>Paste, Sagar:
5 out of 5 approvals received</t>
        </r>
      </text>
    </comment>
    <comment ref="P7" authorId="1" shapeId="0" xr:uid="{F933D054-6348-45ED-817B-27417CF351AA}">
      <text>
        <r>
          <rPr>
            <sz val="11"/>
            <color theme="1"/>
            <rFont val="Aptos Narrow"/>
            <family val="2"/>
            <scheme val="minor"/>
          </rPr>
          <t>Paste, Sagar:
6 out of 6 submissions approved on time</t>
        </r>
      </text>
    </comment>
    <comment ref="I11" authorId="2" shapeId="0" xr:uid="{6D18F918-B6B3-4526-A495-FB7D697D5C04}">
      <text>
        <t>[Threaded comment]
Your version of Excel allows you to read this threaded comment; however, any edits to it will get removed if the file is opened in a newer version of Excel. Learn more: https://go.microsoft.com/fwlink/?linkid=870924
Comment:
    36 submission planned and as of today we have completed 21
Reply:
    By end of Jan 31 were submitted against 31 planned submissions. 5 renewal submissions for Ukraine markets were postponed with consent of KM without any blocks</t>
      </text>
    </comment>
    <comment ref="J11" authorId="1" shapeId="0" xr:uid="{EE5F3042-68D6-4D5C-8B86-0052700C76FB}">
      <text>
        <r>
          <rPr>
            <sz val="11"/>
            <color theme="1"/>
            <rFont val="Aptos Narrow"/>
            <family val="2"/>
            <scheme val="minor"/>
          </rPr>
          <t>Paste, Sagar:
57 of 57 planned submissions were completed on time.</t>
        </r>
      </text>
    </comment>
    <comment ref="K11" authorId="1" shapeId="0" xr:uid="{BF2FB690-8D81-4710-B77B-9C21D381C133}">
      <text>
        <r>
          <rPr>
            <sz val="11"/>
            <color theme="1"/>
            <rFont val="Aptos Narrow"/>
            <family val="2"/>
            <scheme val="minor"/>
          </rPr>
          <t>Paste, Sagar:
60 out of 60 submissions completed</t>
        </r>
      </text>
    </comment>
    <comment ref="L11" authorId="1" shapeId="0" xr:uid="{01E1F234-C799-4C07-8D5D-5FDE94FAC554}">
      <text>
        <r>
          <rPr>
            <sz val="11"/>
            <color theme="1"/>
            <rFont val="Aptos Narrow"/>
            <family val="2"/>
            <scheme val="minor"/>
          </rPr>
          <t>Paste, Sagar:
Import license submission for Trixell detectors was delayed.</t>
        </r>
      </text>
    </comment>
    <comment ref="M11" authorId="1" shapeId="0" xr:uid="{3C1E4A78-CCDD-4B69-A1D9-05778D523130}">
      <text>
        <r>
          <rPr>
            <sz val="11"/>
            <color theme="1"/>
            <rFont val="Aptos Narrow"/>
            <family val="2"/>
            <scheme val="minor"/>
          </rPr>
          <t>Paste, Sagar:
Check COE tracker
6 submission by COE
1 EU NOC Avalue</t>
        </r>
      </text>
    </comment>
    <comment ref="O11" authorId="1" shapeId="0" xr:uid="{27BEC1C0-0444-4B9E-81C9-AEB2C3EF2DA1}">
      <text>
        <r>
          <rPr>
            <sz val="11"/>
            <color theme="1"/>
            <rFont val="Aptos Narrow"/>
            <family val="2"/>
            <scheme val="minor"/>
          </rPr>
          <t xml:space="preserve">Paste, Sagar:
1 NOC submission by BU RA
7 KM submissions by COE
</t>
        </r>
      </text>
    </comment>
    <comment ref="P11" authorId="1" shapeId="0" xr:uid="{C0028641-A918-4B3B-B754-CA8261671055}">
      <text>
        <r>
          <rPr>
            <sz val="11"/>
            <color theme="1"/>
            <rFont val="Aptos Narrow"/>
            <family val="2"/>
            <scheme val="minor"/>
          </rPr>
          <t>Paste, Sagar:
9 out of 9 submissions on time</t>
        </r>
      </text>
    </comment>
    <comment ref="J15" authorId="1" shapeId="0" xr:uid="{8D768DBA-6D8E-441E-AE13-428C9588750B}">
      <text>
        <r>
          <rPr>
            <sz val="11"/>
            <color theme="1"/>
            <rFont val="Aptos Narrow"/>
            <family val="2"/>
            <scheme val="minor"/>
          </rPr>
          <t>Paste, Sagar:
1 out of 90 orders was delayed due to delayed RA clearance</t>
        </r>
      </text>
    </comment>
    <comment ref="K15" authorId="1" shapeId="0" xr:uid="{8598B58F-8E1C-4220-9C3B-4104476168D7}">
      <text>
        <r>
          <rPr>
            <sz val="11"/>
            <color theme="1"/>
            <rFont val="Aptos Narrow"/>
            <family val="2"/>
            <scheme val="minor"/>
          </rPr>
          <t>Paste, Sagar:
0 our of 90 orders</t>
        </r>
      </text>
    </comment>
    <comment ref="L15" authorId="1" shapeId="0" xr:uid="{380C7F52-CA89-4FBF-BE23-4952D9016CF9}">
      <text>
        <r>
          <rPr>
            <sz val="11"/>
            <color theme="1"/>
            <rFont val="Aptos Narrow"/>
            <family val="2"/>
            <scheme val="minor"/>
          </rPr>
          <t>Paste, Sagar:
0 out of 92 orders blocked</t>
        </r>
      </text>
    </comment>
    <comment ref="N15" authorId="3" shapeId="0" xr:uid="{76916F4A-4D0E-45BD-B6EF-1252588FC152}">
      <text>
        <t>[Threaded comment]
Your version of Excel allows you to read this threaded comment; however, any edits to it will get removed if the file is opened in a newer version of Excel. Learn more: https://go.microsoft.com/fwlink/?linkid=870924
Comment:
    144 orders are planned</t>
      </text>
    </comment>
    <comment ref="O15" authorId="1" shapeId="0" xr:uid="{D109D5C0-F626-4693-ADB0-3F287A76BEBD}">
      <text>
        <r>
          <rPr>
            <sz val="11"/>
            <color theme="1"/>
            <rFont val="Aptos Narrow"/>
            <family val="2"/>
            <scheme val="minor"/>
          </rPr>
          <t xml:space="preserve">Paste, Sagar:
</t>
        </r>
      </text>
    </comment>
    <comment ref="P15" authorId="1" shapeId="0" xr:uid="{7C97BDE1-30E3-404B-9263-793CCD0F646C}">
      <text>
        <r>
          <rPr>
            <sz val="11"/>
            <color theme="1"/>
            <rFont val="Aptos Narrow"/>
            <family val="2"/>
            <scheme val="minor"/>
          </rPr>
          <t>Paste, Sagar:
96 out of 96 shipments did not face any regulatory blocks</t>
        </r>
      </text>
    </comment>
    <comment ref="J17" authorId="1" shapeId="0" xr:uid="{0AEDE778-79C0-4F56-946A-60648B4BEE41}">
      <text>
        <r>
          <rPr>
            <sz val="11"/>
            <color theme="1"/>
            <rFont val="Aptos Narrow"/>
            <family val="2"/>
            <scheme val="minor"/>
          </rPr>
          <t>Paste, Sagar:
2 PCN responses were delayed from KM ANZ, EC, VN, MY</t>
        </r>
      </text>
    </comment>
    <comment ref="K17" authorId="4" shapeId="0" xr:uid="{8164785B-3A74-4AE8-9DE0-15728461F137}">
      <text>
        <t>[Threaded comment]
Your version of Excel allows you to read this threaded comment; however, any edits to it will get removed if the file is opened in a newer version of Excel. Learn more: https://go.microsoft.com/fwlink/?linkid=870924
Comment:
    Nothing was due for March  Month</t>
      </text>
    </comment>
    <comment ref="L17" authorId="1" shapeId="0" xr:uid="{2CB192BB-FB23-46D7-B2DC-4C7CA4978B23}">
      <text>
        <r>
          <rPr>
            <sz val="11"/>
            <color theme="1"/>
            <rFont val="Aptos Narrow"/>
            <family val="2"/>
            <scheme val="minor"/>
          </rPr>
          <t>Paste, Sagar:
Response not received for all the three changes from few markets.</t>
        </r>
      </text>
    </comment>
    <comment ref="M17" authorId="1" shapeId="0" xr:uid="{FEBB3B02-AFD8-464B-9A6D-4EE3C98BBC6A}">
      <text>
        <r>
          <rPr>
            <sz val="11"/>
            <color theme="1"/>
            <rFont val="Aptos Narrow"/>
            <family val="2"/>
            <scheme val="minor"/>
          </rPr>
          <t>Paste, Sagar:
Responses expected for 3 PCNs</t>
        </r>
      </text>
    </comment>
    <comment ref="O17" authorId="1" shapeId="0" xr:uid="{7FBA4F0D-511B-44F5-BFB5-BC43C6B2961E}">
      <text>
        <r>
          <rPr>
            <sz val="11"/>
            <color theme="1"/>
            <rFont val="Aptos Narrow"/>
            <family val="2"/>
            <scheme val="minor"/>
          </rPr>
          <t>Paste, Sagar:
1/1 PCN responses received in time</t>
        </r>
      </text>
    </comment>
    <comment ref="P17" authorId="1" shapeId="0" xr:uid="{6DC173C2-CF0C-4FD6-8D88-9E4887E77568}">
      <text>
        <r>
          <rPr>
            <sz val="11"/>
            <color theme="1"/>
            <rFont val="Aptos Narrow"/>
            <family val="2"/>
            <scheme val="minor"/>
          </rPr>
          <t xml:space="preserve">Paste, Sagar:
Responses for 2 out of 2 PCNs were received on time
</t>
        </r>
      </text>
    </comment>
    <comment ref="L19" authorId="1" shapeId="0" xr:uid="{1B82EAE8-779A-4065-A39F-3EA5CE43FDF6}">
      <text>
        <r>
          <rPr>
            <sz val="11"/>
            <color theme="1"/>
            <rFont val="Aptos Narrow"/>
            <family val="2"/>
            <scheme val="minor"/>
          </rPr>
          <t>Paste, Sagar:
8 documents out of 34 needed for Trixell import license submission are not available sor submission</t>
        </r>
      </text>
    </comment>
    <comment ref="K21" authorId="1" shapeId="0" xr:uid="{3412E1BC-6AA3-4727-AE70-52B9B5753017}">
      <text>
        <r>
          <rPr>
            <sz val="11"/>
            <color theme="1"/>
            <rFont val="Aptos Narrow"/>
            <family val="2"/>
            <scheme val="minor"/>
          </rPr>
          <t>Paste, Sagar:
1 out 34 submission received major deficiency from Health Authority (US FDA and  we have to do resubmission )</t>
        </r>
      </text>
    </comment>
    <comment ref="B48" authorId="1" shapeId="0" xr:uid="{E588531A-0B8B-4949-A388-19ECB64409EC}">
      <text>
        <r>
          <rPr>
            <sz val="11"/>
            <color theme="1"/>
            <rFont val="Aptos Narrow"/>
            <family val="2"/>
            <scheme val="minor"/>
          </rPr>
          <t>Paste, Sagar:
There is no impact on market access due to delayed renewal.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Chivukula, Pavan Kumar</author>
    <author>tc={9B6107D2-719F-4197-9FEF-217C53DAC2C0}</author>
  </authors>
  <commentList>
    <comment ref="L9" authorId="0" shapeId="0" xr:uid="{5925229A-E127-4F80-ACE8-79E5E8641168}">
      <text>
        <r>
          <rPr>
            <b/>
            <sz val="9"/>
            <color indexed="81"/>
            <rFont val="Tahoma"/>
            <family val="2"/>
          </rPr>
          <t>Chivukula, Pavan Kumar:</t>
        </r>
        <r>
          <rPr>
            <sz val="9"/>
            <color indexed="81"/>
            <rFont val="Tahoma"/>
            <family val="2"/>
          </rPr>
          <t xml:space="preserve">
Adhoc CR were not included </t>
        </r>
      </text>
    </comment>
    <comment ref="P11" authorId="1" shapeId="0" xr:uid="{9B6107D2-719F-4197-9FEF-217C53DAC2C0}">
      <text>
        <t>[Threaded comment]
Your version of Excel allows you to read this threaded comment; however, any edits to it will get removed if the file is opened in a newer version of Excel. Learn more: https://go.microsoft.com/fwlink/?linkid=870924
Comment:
    Adjustment in cost for Dhruv done</t>
      </text>
    </comment>
    <comment ref="G126" authorId="0" shapeId="0" xr:uid="{EA84944F-C79B-4CDB-B6B3-26925A1A9987}">
      <text>
        <r>
          <rPr>
            <b/>
            <sz val="9"/>
            <color indexed="81"/>
            <rFont val="Tahoma"/>
            <family val="2"/>
          </rPr>
          <t>Chivukula, Pavan Kumar:</t>
        </r>
        <r>
          <rPr>
            <sz val="9"/>
            <color indexed="81"/>
            <rFont val="Tahoma"/>
            <family val="2"/>
          </rPr>
          <t xml:space="preserve">
Plan- 70%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tc={A0AD4213-7336-49BD-A4E0-9EE9E6D2EBE3}</author>
    <author>tc={D9CA913B-A4A4-4449-913D-DBB67E699532}</author>
    <author>Mukherjee, Shomik</author>
    <author>Sharma, Tarun</author>
    <author>tc={19F3F05E-3293-442B-9A8E-D72097F7A1D9}</author>
  </authors>
  <commentList>
    <comment ref="N7" authorId="0" shapeId="0" xr:uid="{A0AD4213-7336-49BD-A4E0-9EE9E6D2EBE3}">
      <text>
        <t xml:space="preserve">[Threaded comment]
Your version of Excel allows you to read this threaded comment; however, any edits to it will get removed if the file is opened in a newer version of Excel. Learn more: https://go.microsoft.com/fwlink/?linkid=870924
Comment:
    Zenition 10 - 23%
Zenition 30 - 27%
Zenition 90 M - 50%
Reply:
    Z10 trend MAT: Mar 28%, Apr 18%, May 19%, ; Z30 trend : Mar 24%, Apr 24%, May 23%; Z90 trend MAT :Mar 51%, April: 55%, May 47%, </t>
      </text>
    </comment>
    <comment ref="O7" authorId="1" shapeId="0" xr:uid="{D9CA913B-A4A4-4449-913D-DBB67E699532}">
      <text>
        <t>[Threaded comment]
Your version of Excel allows you to read this threaded comment; however, any edits to it will get removed if the file is opened in a newer version of Excel. Learn more: https://go.microsoft.com/fwlink/?linkid=870924
Comment:
    Z10 - 23% 
Z30 - 23%
Z90M - 49%
Reply:
    Thanks Nisha</t>
      </text>
    </comment>
    <comment ref="O8" authorId="2" shapeId="0" xr:uid="{5BFBE76A-F597-4A00-8EE2-9B96443D5C85}">
      <text>
        <r>
          <rPr>
            <b/>
            <sz val="9"/>
            <color indexed="81"/>
            <rFont val="Tahoma"/>
            <family val="2"/>
          </rPr>
          <t>Mukherjee, Shomik:</t>
        </r>
        <r>
          <rPr>
            <sz val="9"/>
            <color indexed="81"/>
            <rFont val="Tahoma"/>
            <family val="2"/>
          </rPr>
          <t xml:space="preserve">
Plan revision based on budget decision and alignment with NAR and EU.</t>
        </r>
      </text>
    </comment>
    <comment ref="N10" authorId="3" shapeId="0" xr:uid="{5AE8C447-D911-424D-886B-1FB513CEC679}">
      <text>
        <r>
          <rPr>
            <b/>
            <sz val="9"/>
            <color indexed="81"/>
            <rFont val="Tahoma"/>
            <family val="2"/>
          </rPr>
          <t>Sharma, Tarun:</t>
        </r>
        <r>
          <rPr>
            <sz val="9"/>
            <color indexed="81"/>
            <rFont val="Tahoma"/>
            <family val="2"/>
          </rPr>
          <t xml:space="preserve">
AOP '26 OIT pricing target is 103K euro ; This translates to 80% CTP levels. </t>
        </r>
      </text>
    </comment>
    <comment ref="N15" authorId="3" shapeId="0" xr:uid="{C16D955F-6174-4062-9276-05A160CBD527}">
      <text>
        <r>
          <rPr>
            <b/>
            <sz val="9"/>
            <color indexed="81"/>
            <rFont val="Tahoma"/>
            <family val="2"/>
          </rPr>
          <t>Sharma, Tarun:</t>
        </r>
        <r>
          <rPr>
            <sz val="9"/>
            <color indexed="81"/>
            <rFont val="Tahoma"/>
            <family val="2"/>
          </rPr>
          <t xml:space="preserve">
IB asset and Ecopassport are delayed</t>
        </r>
      </text>
    </comment>
    <comment ref="O15" authorId="4" shapeId="0" xr:uid="{19F3F05E-3293-442B-9A8E-D72097F7A1D9}">
      <text>
        <t xml:space="preserve">[Threaded comment]
Your version of Excel allows you to read this threaded comment; however, any edits to it will get removed if the file is opened in a newer version of Excel. Learn more: https://go.microsoft.com/fwlink/?linkid=870924
Comment:
    Primary impact from the follwing projects - 
NDA presentation behind schedule - Marcom workstream not activated. Market validation WIP.
CS FD 30 x 30 brochure - claims not approved in Veeva promo mats - Marcom deliverables completed but unfortunately asset cannot be released unless claims are approved. 
Elevate - deliverables marcom work stream not activated. </t>
      </text>
    </comment>
    <comment ref="B55" authorId="3" shapeId="0" xr:uid="{3397CC0E-0DC9-4C50-9AF6-C9851867715C}">
      <text>
        <r>
          <rPr>
            <b/>
            <sz val="9"/>
            <color indexed="81"/>
            <rFont val="Tahoma"/>
            <family val="2"/>
          </rPr>
          <t>Sharma, Tarun:</t>
        </r>
        <r>
          <rPr>
            <sz val="9"/>
            <color indexed="81"/>
            <rFont val="Tahoma"/>
            <family val="2"/>
          </rPr>
          <t xml:space="preserve">
LATAM- 55%, APAC-18%, ISC-10% Others-18%
_________
GE -35%, Local Competition-20%
__________
Columbia : GE won with OEC One at 65K USD
Brazil- 70K USD for GE with OEC One  II / 62K USD GE Closed </t>
        </r>
      </text>
    </comment>
    <comment ref="C55" authorId="3" shapeId="0" xr:uid="{0DE59000-0223-483F-9568-374E815D6C88}">
      <text>
        <r>
          <rPr>
            <b/>
            <sz val="9"/>
            <color indexed="81"/>
            <rFont val="Tahoma"/>
            <family val="2"/>
          </rPr>
          <t>Sharma, Tarun:</t>
        </r>
        <r>
          <rPr>
            <sz val="9"/>
            <color indexed="81"/>
            <rFont val="Tahoma"/>
            <family val="2"/>
          </rPr>
          <t xml:space="preserve">
80% of the users bought Solo due to competitive 
Price</t>
        </r>
      </text>
    </comment>
    <comment ref="C85" authorId="3" shapeId="0" xr:uid="{453C802D-A127-42AC-9355-F945986A2DC5}">
      <text>
        <r>
          <rPr>
            <b/>
            <sz val="9"/>
            <color indexed="81"/>
            <rFont val="Tahoma"/>
            <family val="2"/>
          </rPr>
          <t>Sharma, Tarun:</t>
        </r>
        <r>
          <rPr>
            <sz val="9"/>
            <color indexed="81"/>
            <rFont val="Tahoma"/>
            <family val="2"/>
          </rPr>
          <t xml:space="preserve">
Nisha to add note on why August date was given by configuration team and why not July '26?</t>
        </r>
      </text>
    </comment>
    <comment ref="C99" authorId="3" shapeId="0" xr:uid="{190C2552-0E95-44D5-9463-E4FE6C7341A2}">
      <text>
        <r>
          <rPr>
            <b/>
            <sz val="9"/>
            <color indexed="81"/>
            <rFont val="Tahoma"/>
            <family val="2"/>
          </rPr>
          <t>Sharma, Tarun:</t>
        </r>
        <r>
          <rPr>
            <sz val="9"/>
            <color indexed="81"/>
            <rFont val="Tahoma"/>
            <family val="2"/>
          </rPr>
          <t xml:space="preserve">
@Shomik: Please put the action here</t>
        </r>
      </text>
    </comment>
    <comment ref="C101" authorId="3" shapeId="0" xr:uid="{DD765D4C-5BCC-4CF9-ACB8-32B0422E071E}">
      <text>
        <r>
          <rPr>
            <b/>
            <sz val="9"/>
            <color indexed="81"/>
            <rFont val="Tahoma"/>
            <family val="2"/>
          </rPr>
          <t>Sharma, Tarun:</t>
        </r>
        <r>
          <rPr>
            <sz val="9"/>
            <color indexed="81"/>
            <rFont val="Tahoma"/>
            <family val="2"/>
          </rPr>
          <t xml:space="preserve">
@Shomik: Please put the action here</t>
        </r>
      </text>
    </comment>
    <comment ref="C107" authorId="3" shapeId="0" xr:uid="{E469DC8B-C3CB-4054-AF06-6C8E431C3703}">
      <text>
        <r>
          <rPr>
            <b/>
            <sz val="9"/>
            <color indexed="81"/>
            <rFont val="Tahoma"/>
            <family val="2"/>
          </rPr>
          <t>Sharma, Tarun:</t>
        </r>
        <r>
          <rPr>
            <sz val="9"/>
            <color indexed="81"/>
            <rFont val="Tahoma"/>
            <family val="2"/>
          </rPr>
          <t xml:space="preserve">
@Shomik: Please put more details including specific actions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tc={8C2E57A1-45D9-4329-83FF-5EE0DDEAF7B4}</author>
    <author>Sharma, Tarun</author>
  </authors>
  <commentList>
    <comment ref="N7" authorId="0" shapeId="0" xr:uid="{8C2E57A1-45D9-4329-83FF-5EE0DDEAF7B4}">
      <text>
        <t xml:space="preserve">[Threaded comment]
Your version of Excel allows you to read this threaded comment; however, any edits to it will get removed if the file is opened in a newer version of Excel. Learn more: https://go.microsoft.com/fwlink/?linkid=870924
Comment:
    Zenition 10 - 23%
Zenition 30 - 27%
Zenition 90 M - 50%
Reply:
    Z10 trend MAT: Mar 28%, Apr 18%, May 19%, ; Z30 trend : Mar 24%, Apr 24%, May 23%; Z90 trend MAT :Mar 51%, April: 55%, May 47%, </t>
      </text>
    </comment>
    <comment ref="N10" authorId="1" shapeId="0" xr:uid="{0CB7F1AA-7F6F-486F-9639-54FCF009B2CF}">
      <text>
        <r>
          <rPr>
            <b/>
            <sz val="9"/>
            <color indexed="81"/>
            <rFont val="Tahoma"/>
            <charset val="1"/>
          </rPr>
          <t>Sharma, Tarun:</t>
        </r>
        <r>
          <rPr>
            <sz val="9"/>
            <color indexed="81"/>
            <rFont val="Tahoma"/>
            <charset val="1"/>
          </rPr>
          <t xml:space="preserve">
AOP '26 OIT pricing target is 103K euro ; This translates to 80% CTP levels. </t>
        </r>
      </text>
    </comment>
    <comment ref="N11" authorId="1" shapeId="0" xr:uid="{564B43AA-0B85-437D-B285-A955FA85E051}">
      <text>
        <r>
          <rPr>
            <sz val="11"/>
            <color theme="1"/>
            <rFont val="Aptos Narrow"/>
            <family val="2"/>
            <scheme val="minor"/>
          </rPr>
          <t>Sharma, Tarun:
From May to June 2026, 41 orders of Huddut were booked for Z70 FD17 with CTP of just 47%</t>
        </r>
      </text>
    </comment>
    <comment ref="N15" authorId="1" shapeId="0" xr:uid="{A6FE2A28-3986-46E8-BB30-603229774C31}">
      <text>
        <r>
          <rPr>
            <b/>
            <sz val="9"/>
            <color indexed="81"/>
            <rFont val="Tahoma"/>
            <family val="2"/>
          </rPr>
          <t>Sharma, Tarun:</t>
        </r>
        <r>
          <rPr>
            <sz val="9"/>
            <color indexed="81"/>
            <rFont val="Tahoma"/>
            <family val="2"/>
          </rPr>
          <t xml:space="preserve">
IB asset and Ecopassport are delayed</t>
        </r>
      </text>
    </comment>
    <comment ref="B52" authorId="1" shapeId="0" xr:uid="{324C9280-D3BC-45A6-920D-D67233F75F09}">
      <text>
        <r>
          <rPr>
            <b/>
            <sz val="9"/>
            <color indexed="81"/>
            <rFont val="Tahoma"/>
            <family val="2"/>
          </rPr>
          <t>Sharma, Tarun:</t>
        </r>
        <r>
          <rPr>
            <sz val="9"/>
            <color indexed="81"/>
            <rFont val="Tahoma"/>
            <family val="2"/>
          </rPr>
          <t xml:space="preserve">
Compact ask - 33%
Price - 20%
Brand Preference - 20%
_____________________________
</t>
        </r>
      </text>
    </comment>
    <comment ref="C52" authorId="1" shapeId="0" xr:uid="{7C02DA6E-0D5F-4FE5-A31A-E690BAE7266B}">
      <text>
        <r>
          <rPr>
            <b/>
            <sz val="9"/>
            <color indexed="81"/>
            <rFont val="Tahoma"/>
            <family val="2"/>
          </rPr>
          <t>Sharma, Tarun:</t>
        </r>
        <r>
          <rPr>
            <sz val="9"/>
            <color indexed="81"/>
            <rFont val="Tahoma"/>
            <family val="2"/>
          </rPr>
          <t xml:space="preserve">
Top reasons
a.. Lack of FD 17- 3qty
b.Latest version of Win - 3 qty
c. No german keyboard /CMOS- 2 qty </t>
        </r>
      </text>
    </comment>
    <comment ref="B55" authorId="1" shapeId="0" xr:uid="{F100EAAB-73E0-4308-BAC3-D839E06B82A1}">
      <text>
        <r>
          <rPr>
            <b/>
            <sz val="9"/>
            <color indexed="81"/>
            <rFont val="Tahoma"/>
            <family val="2"/>
          </rPr>
          <t>Sharma, Tarun:</t>
        </r>
        <r>
          <rPr>
            <sz val="9"/>
            <color indexed="81"/>
            <rFont val="Tahoma"/>
            <family val="2"/>
          </rPr>
          <t xml:space="preserve">
LATAM- 55%, APAC-18%, ISC-10% Others-18%
_________
GE -35%, Local Competition-20%
__________
Columbia : GE won with OEC One at 65K USD
Brazil- 70K USD for GE with OEC One  II / 62K USD GE Closed </t>
        </r>
      </text>
    </comment>
    <comment ref="C55" authorId="1" shapeId="0" xr:uid="{5415BA8C-43FA-46AF-AAAA-BE81A4DFB28C}">
      <text>
        <r>
          <rPr>
            <b/>
            <sz val="9"/>
            <color indexed="81"/>
            <rFont val="Tahoma"/>
            <family val="2"/>
          </rPr>
          <t>Sharma, Tarun:</t>
        </r>
        <r>
          <rPr>
            <sz val="9"/>
            <color indexed="81"/>
            <rFont val="Tahoma"/>
            <family val="2"/>
          </rPr>
          <t xml:space="preserve">
80% of the users bought Solo due to competitive 
Price</t>
        </r>
      </text>
    </comment>
    <comment ref="C85" authorId="1" shapeId="0" xr:uid="{A719F903-BC2A-4B26-BF36-13E6AA169829}">
      <text>
        <r>
          <rPr>
            <b/>
            <sz val="9"/>
            <color indexed="81"/>
            <rFont val="Tahoma"/>
            <family val="2"/>
          </rPr>
          <t>Sharma, Tarun:</t>
        </r>
        <r>
          <rPr>
            <sz val="9"/>
            <color indexed="81"/>
            <rFont val="Tahoma"/>
            <family val="2"/>
          </rPr>
          <t xml:space="preserve">
Nisha to add note on why August date was given by configuration team and why not July '26?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tc={271BFFAF-607B-4BE0-B84A-6071FDF16A11}</author>
    <author>tc={03DB790E-FF4A-4947-8A1C-45719B14683E}</author>
    <author>tc={000DDA50-6A07-4E1E-A3B9-3E897FE68F28}</author>
    <author>tc={3429B22C-2EF8-43DE-A7CD-F5B8D14F77F0}</author>
    <author>tc={2D489B81-641B-4678-A3A4-C3556D8903B9}</author>
  </authors>
  <commentList>
    <comment ref="B14" authorId="0" shapeId="0" xr:uid="{271BFFAF-607B-4BE0-B84A-6071FDF16A11}">
      <text>
        <t>[Threaded comment]
Your version of Excel allows you to read this threaded comment; however, any edits to it will get removed if the file is opened in a newer version of Excel. Learn more: https://go.microsoft.com/fwlink/?linkid=870924
Comment:
    Planning to see if Number of Contract can be tracked instead of CP%</t>
      </text>
    </comment>
    <comment ref="K15" authorId="1" shapeId="0" xr:uid="{03DB790E-FF4A-4947-8A1C-45719B14683E}">
      <text>
        <t xml:space="preserve">[Threaded comment]
Your version of Excel allows you to read this threaded comment; however, any edits to it will get removed if the file is opened in a newer version of Excel. Learn more: https://go.microsoft.com/fwlink/?linkid=870924
Comment:
    Reporting changes with ongoing discussions within all modalities. Central team leading change and final WOW to be decided in April
</t>
      </text>
    </comment>
    <comment ref="M17" authorId="2" shapeId="0" xr:uid="{000DDA50-6A07-4E1E-A3B9-3E897FE68F28}">
      <text>
        <t>[Threaded comment]
Your version of Excel allows you to read this threaded comment; however, any edits to it will get removed if the file is opened in a newer version of Excel. Learn more: https://go.microsoft.com/fwlink/?linkid=870924
Comment:
    Data not Final</t>
      </text>
    </comment>
    <comment ref="B154" authorId="3" shapeId="0" xr:uid="{3429B22C-2EF8-43DE-A7CD-F5B8D14F77F0}">
      <text>
        <t>[Threaded comment]
Your version of Excel allows you to read this threaded comment; however, any edits to it will get removed if the file is opened in a newer version of Excel. Learn more: https://go.microsoft.com/fwlink/?linkid=870924
Comment:
    Planning to see if Number of Contract can be tracked instead of CP%</t>
      </text>
    </comment>
    <comment ref="K155" authorId="4" shapeId="0" xr:uid="{2D489B81-641B-4678-A3A4-C3556D8903B9}">
      <text>
        <t xml:space="preserve">[Threaded comment]
Your version of Excel allows you to read this threaded comment; however, any edits to it will get removed if the file is opened in a newer version of Excel. Learn more: https://go.microsoft.com/fwlink/?linkid=870924
Comment:
    Reporting changes with ongoing discussions within all modalities. Central team leading change and final WOW to be decided in April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Valera, Fiel</author>
  </authors>
  <commentList>
    <comment ref="I9" authorId="0" shapeId="0" xr:uid="{CE99EE36-2CE2-4264-8C42-F825BBD4D34C}">
      <text>
        <r>
          <rPr>
            <sz val="11"/>
            <color theme="1"/>
            <rFont val="Aptos Narrow"/>
            <family val="2"/>
            <scheme val="minor"/>
          </rPr>
          <t>Valera, Fiel:
Growth - 2.1 act vs. 1.5 tgt
Europe - 1.1 act vs. 3.0 tgt
NAR - 2.1 act vs. 2.4 tgt
Europe target changed from 1.7 to 3.0</t>
        </r>
      </text>
    </comment>
    <comment ref="I11" authorId="0" shapeId="0" xr:uid="{4F631A54-A2C4-4B95-A1C1-67D2EA41B35C}">
      <text>
        <r>
          <rPr>
            <sz val="11"/>
            <color theme="1"/>
            <rFont val="Aptos Narrow"/>
            <family val="2"/>
            <scheme val="minor"/>
          </rPr>
          <t xml:space="preserve">Valera, Fiel:
Growth -35% act vs. 35% tgt
Europe - 26% act vs. 31% tgt
NAR - 34% act vs. 34% tgt.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Chebli, Maryam</author>
  </authors>
  <commentList>
    <comment ref="K7" authorId="0" shapeId="0" xr:uid="{2CDE7C7F-F4FA-408B-865C-283627B0BDA9}">
      <text>
        <r>
          <rPr>
            <sz val="11"/>
            <color theme="1"/>
            <rFont val="Aptos Narrow"/>
            <family val="2"/>
            <scheme val="minor"/>
          </rPr>
          <t xml:space="preserve">Chebli, Maryam:
Q1 2026 Market Share
</t>
        </r>
      </text>
    </comment>
    <comment ref="L11" authorId="0" shapeId="0" xr:uid="{D8A36F04-A138-4AF0-9A4B-9B2CAD8286BA}">
      <text>
        <r>
          <rPr>
            <sz val="11"/>
            <color theme="1"/>
            <rFont val="Aptos Narrow"/>
            <family val="2"/>
            <scheme val="minor"/>
          </rPr>
          <t xml:space="preserve">Chebli, Maryam:
April too early, still have plenty of time to report on POS- 
Rolling 12 moth QTRLTY POS = 40% still at target </t>
        </r>
      </text>
    </comment>
    <comment ref="K21" authorId="0" shapeId="0" xr:uid="{B30B45FB-F99E-4C42-86CE-3DDFB5B38BAF}">
      <text>
        <r>
          <rPr>
            <sz val="11"/>
            <color theme="1"/>
            <rFont val="Aptos Narrow"/>
            <family val="2"/>
            <scheme val="minor"/>
          </rPr>
          <t xml:space="preserve">Chebli, Maryam:
Q1 2026 17.3
</t>
        </r>
      </text>
    </comment>
    <comment ref="M23" authorId="0" shapeId="0" xr:uid="{76163D9B-BDCA-42B4-92A4-64BF9AD0DD76}">
      <text>
        <r>
          <rPr>
            <sz val="11"/>
            <color theme="1"/>
            <rFont val="Aptos Narrow"/>
            <family val="2"/>
            <scheme val="minor"/>
          </rPr>
          <t xml:space="preserve">Chebli, Maryam:
all months updated for IB Competitive win rate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Marini, Silvia</author>
    <author>tc={04049BF7-4927-43E8-A0A2-27D72D9FECBD}</author>
    <author>tc={1FDC6073-0D31-431F-A83F-99B079D28DE2}</author>
    <author>tc={B408E43A-84A9-4294-B494-EBC30A5FC640}</author>
    <author>tc={AE34AD0B-1310-4342-AA27-50F4FD8456A2}</author>
    <author>tc={1AC2975A-9438-42DA-ABC9-3148411FC10C}</author>
    <author>tc={D965E19C-3039-42AB-83D2-3D192B2FDD41}</author>
    <author>tc={4B2CC3E4-B4F1-490D-AF1E-090259F7EE54}</author>
    <author>tc={2437477F-7CC5-4CF8-9F37-8A3E3A555AA4}</author>
  </authors>
  <commentList>
    <comment ref="O9" authorId="0" shapeId="0" xr:uid="{C808F005-424F-4C27-AFD3-FD83AE6D3EED}">
      <text>
        <r>
          <rPr>
            <b/>
            <sz val="9"/>
            <color indexed="81"/>
            <rFont val="Tahoma"/>
            <family val="2"/>
          </rPr>
          <t>Marini, Silvia:</t>
        </r>
        <r>
          <rPr>
            <sz val="9"/>
            <color indexed="81"/>
            <rFont val="Tahoma"/>
            <family val="2"/>
          </rPr>
          <t xml:space="preserve">
EQ OIT at 18.8M (+5.2M vs LY, -2M vs AOP)
</t>
        </r>
      </text>
    </comment>
    <comment ref="P9" authorId="1" shapeId="0" xr:uid="{04049BF7-4927-43E8-A0A2-27D72D9FECBD}">
      <text>
        <t>[Threaded comment]
Your version of Excel allows you to read this threaded comment; however, any edits to it will get removed if the file is opened in a newer version of Excel. Learn more: https://go.microsoft.com/fwlink/?linkid=870924
Comment:
    CY at 20M, +33% YoY, -3.8M vs AOP</t>
      </text>
    </comment>
    <comment ref="O11" authorId="0" shapeId="0" xr:uid="{1FD4D1FA-2543-48FA-AE8C-A42B476B66F2}">
      <text>
        <r>
          <rPr>
            <b/>
            <sz val="9"/>
            <color indexed="81"/>
            <rFont val="Tahoma"/>
            <family val="2"/>
          </rPr>
          <t>Marini, Silvia:</t>
        </r>
        <r>
          <rPr>
            <sz val="9"/>
            <color indexed="81"/>
            <rFont val="Tahoma"/>
            <family val="2"/>
          </rPr>
          <t xml:space="preserve">
SV OIT at 15.4M (+2.3M vs LY, +0.7M vs AOP)</t>
        </r>
      </text>
    </comment>
    <comment ref="P15" authorId="2" shapeId="0" xr:uid="{1FDC6073-0D31-431F-A83F-99B079D28DE2}">
      <text>
        <t>[Threaded comment]
Your version of Excel allows you to read this threaded comment; however, any edits to it will get removed if the file is opened in a newer version of Excel. Learn more: https://go.microsoft.com/fwlink/?linkid=870924
Comment:
    +1M vs LM</t>
      </text>
    </comment>
    <comment ref="N19" authorId="3" shapeId="0" xr:uid="{B408E43A-84A9-4294-B494-EBC30A5FC640}">
      <text>
        <t xml:space="preserve">[Threaded comment]
Your version of Excel allows you to read this threaded comment; however, any edits to it will get removed if the file is opened in a newer version of Excel. Learn more: https://go.microsoft.com/fwlink/?linkid=870924
Comment:
    7.1M as June OL. 2.7M delta vs AOP. Root causes: 1.7M under EU Other which will get compensated in Q4 (-1.7M AOP under EU Other), +0.9M overachievement in Q1. Without the 1.7M under EU Other, EU would be on par with AOP in H1.
</t>
      </text>
    </comment>
    <comment ref="M21" authorId="4" shapeId="0" xr:uid="{AE34AD0B-1310-4342-AA27-50F4FD8456A2}">
      <text>
        <t>[Threaded comment]
Your version of Excel allows you to read this threaded comment; however, any edits to it will get removed if the file is opened in a newer version of Excel. Learn more: https://go.microsoft.com/fwlink/?linkid=870924
Comment:
    Root causes: UKI (1.9M Lost), NOR (1.5M NP), BNL (1.2M Lost), DACH (0.9M Lost). 
UKI: mass upload opps closed as Lost due to Brand Preference. 
BNL: 8 units deal lost in Belgium due to too expensive Services offering.
DACH: IB burn down plan: systems were replaced in the past already</t>
      </text>
    </comment>
    <comment ref="O23" authorId="0" shapeId="0" xr:uid="{3A3E93EF-AA7E-48AA-85AA-579938652D66}">
      <text>
        <r>
          <rPr>
            <b/>
            <sz val="9"/>
            <color indexed="81"/>
            <rFont val="Tahoma"/>
            <family val="2"/>
          </rPr>
          <t>Marini, Silvia:</t>
        </r>
        <r>
          <rPr>
            <sz val="9"/>
            <color indexed="81"/>
            <rFont val="Tahoma"/>
            <family val="2"/>
          </rPr>
          <t xml:space="preserve">
YTD 54.3%</t>
        </r>
      </text>
    </comment>
    <comment ref="P23" authorId="5" shapeId="0" xr:uid="{1AC2975A-9438-42DA-ABC9-3148411FC10C}">
      <text>
        <t>[Threaded comment]
Your version of Excel allows you to read this threaded comment; however, any edits to it will get removed if the file is opened in a newer version of Excel. Learn more: https://go.microsoft.com/fwlink/?linkid=870924
Comment:
    Data not available yet. Will get available at WD7</t>
      </text>
    </comment>
    <comment ref="J25" authorId="6" shapeId="0" xr:uid="{D965E19C-3039-42AB-83D2-3D192B2FDD41}">
      <text>
        <t>[Threaded comment]
Your version of Excel allows you to read this threaded comment; however, any edits to it will get removed if the file is opened in a newer version of Excel. Learn more: https://go.microsoft.com/fwlink/?linkid=870924
Comment:
    Feb ITM CS IGM% at 0.9M on par with AOP in absolute value and at 49.6% above AOP. 
Gap caused by Eq due to lower Sales in Jan and Feb with 300k gap (10%)</t>
      </text>
    </comment>
    <comment ref="K25" authorId="7" shapeId="0" xr:uid="{4B2CC3E4-B4F1-490D-AF1E-090259F7EE54}">
      <text>
        <t>[Threaded comment]
Your version of Excel allows you to read this threaded comment; however, any edits to it will get removed if the file is opened in a newer version of Excel. Learn more: https://go.microsoft.com/fwlink/?linkid=870924
Comment:
    800k delta: 500k in EQ and 300k in CS. EQ: highest contributor is iCoS, followed by 3rd parties items. 
SV: highest contributor is lower volume (200k)</t>
      </text>
    </comment>
    <comment ref="P25" authorId="8" shapeId="0" xr:uid="{2437477F-7CC5-4CF8-9F37-8A3E3A555AA4}">
      <text>
        <t>[Threaded comment]
Your version of Excel allows you to read this threaded comment; however, any edits to it will get removed if the file is opened in a newer version of Excel. Learn more: https://go.microsoft.com/fwlink/?linkid=870924
Comment:
    Shortfall vs AOP driven by both EQ and SV with SV at 47% vs AOP of 53.3% and EQ at 20.3% vs AOP of 23.6%</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<sst xmlns="http://schemas.openxmlformats.org/spreadsheetml/2006/main" count="3602" uniqueCount="878">
  <si>
    <t>Month</t>
  </si>
  <si>
    <t>Strategic
Imperative</t>
  </si>
  <si>
    <t xml:space="preserve"> Mandatory Outcome KPIs</t>
  </si>
  <si>
    <t>Meric Owner MT</t>
  </si>
  <si>
    <t>Definition</t>
  </si>
  <si>
    <t>Operators</t>
  </si>
  <si>
    <t>AOP 2025</t>
  </si>
  <si>
    <t>Units</t>
  </si>
  <si>
    <t>Metric Nature</t>
  </si>
  <si>
    <t>Frequency</t>
  </si>
  <si>
    <t>Target Actual</t>
  </si>
  <si>
    <t>Jan</t>
  </si>
  <si>
    <t>Feb</t>
  </si>
  <si>
    <t>Q1</t>
  </si>
  <si>
    <t>Apr</t>
  </si>
  <si>
    <t>May</t>
  </si>
  <si>
    <t>Q2</t>
  </si>
  <si>
    <t>Jul</t>
  </si>
  <si>
    <t>Aug</t>
  </si>
  <si>
    <t>Q3</t>
  </si>
  <si>
    <t>Oct</t>
  </si>
  <si>
    <t>Nov</t>
  </si>
  <si>
    <t>Dec</t>
  </si>
  <si>
    <t>If reported Red then
Cause and Actions</t>
  </si>
  <si>
    <t>Consecutive Red more han 2
instance please submit PRIDE</t>
  </si>
  <si>
    <t>Consecutive Red more than 2
instance and only for PS&amp;Qmetrics
share CAPA</t>
  </si>
  <si>
    <t>Next
Update/Closure
timeline DD-MM</t>
  </si>
  <si>
    <t>1. Patient Safety &amp; Quality</t>
  </si>
  <si>
    <t>Neena S</t>
  </si>
  <si>
    <t>Target</t>
  </si>
  <si>
    <t>Actual</t>
  </si>
  <si>
    <t>Sumit K</t>
  </si>
  <si>
    <t>Vinayak P</t>
  </si>
  <si>
    <t>2. Commercial Excellence</t>
  </si>
  <si>
    <t>Mark L</t>
  </si>
  <si>
    <t>Silvia M</t>
  </si>
  <si>
    <t>Mahmut B</t>
  </si>
  <si>
    <t>3. Speed up
Innovation</t>
  </si>
  <si>
    <t>Shailesh A</t>
  </si>
  <si>
    <t>Intekhab M</t>
  </si>
  <si>
    <t>4. Integrated
Supply Chain</t>
  </si>
  <si>
    <t>Rupali J</t>
  </si>
  <si>
    <t>Anand P</t>
  </si>
  <si>
    <t>5. Improve Profitability</t>
  </si>
  <si>
    <t>Chetan</t>
  </si>
  <si>
    <t>6. Impact
W Care</t>
  </si>
  <si>
    <t>EES</t>
  </si>
  <si>
    <t>Kiran P</t>
  </si>
  <si>
    <t>Half yearly</t>
  </si>
  <si>
    <t>7. Customer
Service</t>
  </si>
  <si>
    <t>Sangram T</t>
  </si>
  <si>
    <t>Customer Escalations Closure</t>
  </si>
  <si>
    <t>Customer escalations closure&lt;= 90 days</t>
  </si>
  <si>
    <t>&gt;=90%</t>
  </si>
  <si>
    <t>No.</t>
  </si>
  <si>
    <t>Monthly</t>
  </si>
  <si>
    <t>Mastersheet</t>
  </si>
  <si>
    <t>Quality DMB</t>
  </si>
  <si>
    <t>KPI Name</t>
  </si>
  <si>
    <t>KPI  Definition</t>
  </si>
  <si>
    <t>Target AOP 2026</t>
  </si>
  <si>
    <t>Metric nature</t>
  </si>
  <si>
    <t>Target/ Actual</t>
  </si>
  <si>
    <t>Jan-2026</t>
  </si>
  <si>
    <t>Feb-2026</t>
  </si>
  <si>
    <t>Mar-2026</t>
  </si>
  <si>
    <t>Apr-2026</t>
  </si>
  <si>
    <t>May-2026</t>
  </si>
  <si>
    <t>Jun-2026</t>
  </si>
  <si>
    <t>Jul-2026</t>
  </si>
  <si>
    <t>Aug-2026</t>
  </si>
  <si>
    <t>Sep-2026</t>
  </si>
  <si>
    <t>Oct-2026</t>
  </si>
  <si>
    <t>Nov-2026</t>
  </si>
  <si>
    <t>Dec-2026</t>
  </si>
  <si>
    <t>Regulatory</t>
  </si>
  <si>
    <t>ISC</t>
  </si>
  <si>
    <t>Supplier  Quality</t>
  </si>
  <si>
    <t>Procurement</t>
  </si>
  <si>
    <t>R&amp;D</t>
  </si>
  <si>
    <t>Marketing</t>
  </si>
  <si>
    <t>Customer Service</t>
  </si>
  <si>
    <t>Commercial Excellence</t>
  </si>
  <si>
    <t>NAR</t>
  </si>
  <si>
    <t>Europe</t>
  </si>
  <si>
    <t>Growth</t>
  </si>
  <si>
    <t xml:space="preserve">
</t>
  </si>
  <si>
    <t/>
  </si>
  <si>
    <t xml:space="preserve">MT Owner: </t>
  </si>
  <si>
    <t>MT Delegate:</t>
  </si>
  <si>
    <t>Actual green</t>
  </si>
  <si>
    <t>Actual red</t>
  </si>
  <si>
    <t>Patient Safety &amp; Quality DMB</t>
  </si>
  <si>
    <t>Mandatory Outcome KPI's (1-3)</t>
  </si>
  <si>
    <t xml:space="preserve">KPI Name   </t>
  </si>
  <si>
    <t>%  CAPA Investigations Currently ≤ 90 days</t>
  </si>
  <si>
    <t>Timeliness of investigations</t>
  </si>
  <si>
    <t>&gt;=</t>
  </si>
  <si>
    <t>%</t>
  </si>
  <si>
    <t>Higher the better</t>
  </si>
  <si>
    <t>% Complaints Open &gt; 90 days</t>
  </si>
  <si>
    <t xml:space="preserve">Measures complaint closures </t>
  </si>
  <si>
    <t>&lt;=</t>
  </si>
  <si>
    <t>Q1 (8%), Q2 (7%) Q3 (6%) Q4 (5%)</t>
  </si>
  <si>
    <t>Lower the better</t>
  </si>
  <si>
    <t>Complaint Rate of NPI products</t>
  </si>
  <si>
    <t>Complaint rate for Z10</t>
  </si>
  <si>
    <t xml:space="preserve">Complaint rate for Z30 </t>
  </si>
  <si>
    <t xml:space="preserve">
1.8
</t>
  </si>
  <si>
    <t>Complaint rate for Z90</t>
  </si>
  <si>
    <t>C&amp;R &gt; Global Due date</t>
  </si>
  <si>
    <t># of C&amp;Rs that are open beyond plan in market</t>
  </si>
  <si>
    <t>Critical Enabling/Leading KPI's (3-5)</t>
  </si>
  <si>
    <t>% CAPA implementation Tasks on time</t>
  </si>
  <si>
    <t>Number of actions completed without extension / Number of CAPA actions planned in that month as per Plan</t>
  </si>
  <si>
    <t>&gt;</t>
  </si>
  <si>
    <t># of C&amp;R in pre- release(Track remaining C&amp;R)</t>
  </si>
  <si>
    <t># of C&amp;Rs waiting on C&amp;R initiation</t>
  </si>
  <si>
    <t>Audit</t>
  </si>
  <si>
    <t># Major Findings in external audits</t>
  </si>
  <si>
    <t>=</t>
  </si>
  <si>
    <t>PS&amp; Q Trends-</t>
  </si>
  <si>
    <t xml:space="preserve">   </t>
  </si>
  <si>
    <t>If the KPI is reported Red, fill all the details as mentioned below for analysis &amp; actions:</t>
  </si>
  <si>
    <t>Root Cause Analysis-</t>
  </si>
  <si>
    <t xml:space="preserve"> Red KPI</t>
  </si>
  <si>
    <t xml:space="preserve">Top  Causes </t>
  </si>
  <si>
    <t xml:space="preserve">Cause 1 </t>
  </si>
  <si>
    <t>Cause 2</t>
  </si>
  <si>
    <t>Cause 3</t>
  </si>
  <si>
    <t>Cause 4</t>
  </si>
  <si>
    <t>Cause 5</t>
  </si>
  <si>
    <t>% CAPA investigation &lt; 90 days</t>
  </si>
  <si>
    <t>Unavailability of Failed samples for Testing /analysis</t>
  </si>
  <si>
    <t>Complexity in risk management content alignment</t>
  </si>
  <si>
    <t>% impact on KPI gap</t>
  </si>
  <si>
    <t>Red KPI</t>
  </si>
  <si>
    <t>Lack of Ownership with either action owners or Support functions</t>
  </si>
  <si>
    <t>Factory Yield</t>
  </si>
  <si>
    <t>SQN</t>
  </si>
  <si>
    <t>Design</t>
  </si>
  <si>
    <t>Warehousing</t>
  </si>
  <si>
    <t>Manufacturing</t>
  </si>
  <si>
    <t>Transport</t>
  </si>
  <si>
    <t>Paretos for RCA</t>
  </si>
  <si>
    <t>Action tracker</t>
  </si>
  <si>
    <t>Handshake Escalations/Support required</t>
  </si>
  <si>
    <t>Root cause description</t>
  </si>
  <si>
    <t>Corrective action</t>
  </si>
  <si>
    <t>Owner</t>
  </si>
  <si>
    <t>Due Date</t>
  </si>
  <si>
    <t>Status</t>
  </si>
  <si>
    <t>Key Dependency</t>
  </si>
  <si>
    <t>Function Name</t>
  </si>
  <si>
    <t>What action/s from
 Function is expected</t>
  </si>
  <si>
    <t>Success measure for
Action Closure</t>
  </si>
  <si>
    <t>Handshaked
(Yes or No)</t>
  </si>
  <si>
    <t>Open issue description</t>
  </si>
  <si>
    <t>Solutions to 
Open issues</t>
  </si>
  <si>
    <t>CAPA Investigation &lt;90 Days</t>
  </si>
  <si>
    <t>Evaluate the process of CAPA and arrangement of field samples to ensure timely availability of sample for analysis/investigation</t>
  </si>
  <si>
    <t>Praveen /Amey</t>
  </si>
  <si>
    <t>Delayed Supplier Response for Deisgn owned by Suppiler</t>
  </si>
  <si>
    <t>Ensuring that CAPA team incudes Procurement and SQE for product CAPA's at the start of CAPA</t>
  </si>
  <si>
    <t>Praveen</t>
  </si>
  <si>
    <t>NA</t>
  </si>
  <si>
    <t>Complexity</t>
  </si>
  <si>
    <t>VSM workshop
Optimize process</t>
  </si>
  <si>
    <t>CAPA implementation tasks</t>
  </si>
  <si>
    <t>Lack of Clarity on C&amp;R planning and executionat the time of CAPA action planning</t>
  </si>
  <si>
    <t>Collaborate with PM team on planning and priorotizing open CAPA Actions</t>
  </si>
  <si>
    <t>Praveen/Akash</t>
  </si>
  <si>
    <t>CAPA KPI's</t>
  </si>
  <si>
    <t>Ownershipd shall be assigned within 3 days from the date of Creation of Event in Appian Tool</t>
  </si>
  <si>
    <t>Shirpad D</t>
  </si>
  <si>
    <t>Effective from June 2026</t>
  </si>
  <si>
    <t>Resource allocation /CAPA team formation in alignment with the people managers within 5 days</t>
  </si>
  <si>
    <t>Checklist for all the new CAPA's for all the needs to perform Timely complation</t>
  </si>
  <si>
    <t>Akash</t>
  </si>
  <si>
    <t>Update all cross functional team shall have CAPA kpi as goals</t>
  </si>
  <si>
    <t xml:space="preserve">Praveen </t>
  </si>
  <si>
    <t>Review of CAPA documents shall be done within 3 working days</t>
  </si>
  <si>
    <t>Effective from July 2026</t>
  </si>
  <si>
    <t>Ownership and report out on
- CAPA investigation ownership
- CAPA Implementation ownership ( inlcudes Extension of CAPA Action shall be taken atleast 30 days prior to the due date by the CAPA Action owner)
- report out for overall CAPA performance</t>
  </si>
  <si>
    <t>Abhijit K</t>
  </si>
  <si>
    <t>Escalation Matrix shall be defined for extension , resource alocation and support</t>
  </si>
  <si>
    <t>Akash/Shripad</t>
  </si>
  <si>
    <t>Appreciation For CAPA Work and WOW on how</t>
  </si>
  <si>
    <t>Neena</t>
  </si>
  <si>
    <t xml:space="preserve">Roadmap of CAPA implementation actions </t>
  </si>
  <si>
    <t>Lack of Ownership with either action owners or Support functions/Complexity in risk management content alignment</t>
  </si>
  <si>
    <t>Capability development in Key document contents
- Compile all the feedback/learnings from previous document reviews ( 1 year ) and provide training to respecive stakeholders ( PPMRR/HHE/HHED/CRRB ppt)</t>
  </si>
  <si>
    <t>Action Owner To be decided with Shripad</t>
  </si>
  <si>
    <t>Conduct Training to all stakeholders and compile list of CAPA Owners trained on CAPA process</t>
  </si>
  <si>
    <t xml:space="preserve">Ongoing </t>
  </si>
  <si>
    <t>Action not assigned</t>
  </si>
  <si>
    <t>Action assigned</t>
  </si>
  <si>
    <t>Action started</t>
  </si>
  <si>
    <t>Action completed</t>
  </si>
  <si>
    <t>Resolution confirmed</t>
  </si>
  <si>
    <t>Sagar Paste</t>
  </si>
  <si>
    <t>Regulatory DMB</t>
  </si>
  <si>
    <t xml:space="preserve">Mandatory KPI </t>
  </si>
  <si>
    <t>Registrations &amp; re-certifications on time</t>
  </si>
  <si>
    <t>(Registration approvals and renewals completed on time) *100/ Total number of approvals planned for the month</t>
  </si>
  <si>
    <t>NPI submission on time</t>
  </si>
  <si>
    <t>(NPI priority country submissions executed on time) *100/ Total number of submissions planned for the month</t>
  </si>
  <si>
    <t>Submission on Time</t>
  </si>
  <si>
    <t>(Regulatory submissions executed on time) *100/ Total number of submissions planned for the month</t>
  </si>
  <si>
    <t>Country readiness</t>
  </si>
  <si>
    <t>(Orders impacted due to regulatory or other readiness-related blocks) *100/ Total orders planned for that month</t>
  </si>
  <si>
    <t>Product Change assessment</t>
  </si>
  <si>
    <t>(Product change assessments completed  by Regulatory within 6 weeks from the date of request) *100/ Total change assessments  completion planned during that month</t>
  </si>
  <si>
    <t>Submission readiness</t>
  </si>
  <si>
    <t>(Completed regulatory submission documents) *100/ Total submission deliverables needed for each planned country submission</t>
  </si>
  <si>
    <t>Quality of submission</t>
  </si>
  <si>
    <t>(Planned regulatory submissions accepted first-time-right) *100/ Total 
submission submitted in that month</t>
  </si>
  <si>
    <t>Trends-</t>
  </si>
  <si>
    <t>Top Causes</t>
  </si>
  <si>
    <t>Product Change assessment (Feb-26)</t>
  </si>
  <si>
    <t>KM RA Resource unavailable during year end holiday</t>
  </si>
  <si>
    <t>Registrations &amp; re-certifications on time (Apr-26)</t>
  </si>
  <si>
    <t>Renewal of license for Zenition products in Nigeria not received formally due to administrative delay with health authority.</t>
  </si>
  <si>
    <t>Product Change assessment 
(Apr-26 &amp; May-26)</t>
  </si>
  <si>
    <t>There were many PCNs to be attended by KM RA within short period of time which resulted in this delay.</t>
  </si>
  <si>
    <t>KM RA resources did not prioritize these change assessments over other work from IGTS and also other BUs.</t>
  </si>
  <si>
    <t>Submission readiness (Apr-26)</t>
  </si>
  <si>
    <t>Supplier (Trixell) was not ready to share submission documents in desired format due to confidentiality reasons as supplier was new to suchs kind of request.</t>
  </si>
  <si>
    <t>Resource unavailable during year end holiday</t>
  </si>
  <si>
    <t>Follow up/escalate to Market  RA  lead and avoid dependency on one resources for future.</t>
  </si>
  <si>
    <t>Boobalan/ Viryanti</t>
  </si>
  <si>
    <t>Renewal of license Zenition products in Nigeria not received formally due to administrative delay with health authority.</t>
  </si>
  <si>
    <t xml:space="preserve">Follow up/escalate  to Market  RA  lead. </t>
  </si>
  <si>
    <t>Sagar/Madeleine</t>
  </si>
  <si>
    <t>Product Change assessment (Apr-26)</t>
  </si>
  <si>
    <t xml:space="preserve">Where possible Regulatory and PMs to plan and distribute PCN worthy changes evenly so that work is not concentrarted over short period of time. </t>
  </si>
  <si>
    <t>Sagar/Sumit</t>
  </si>
  <si>
    <t>Ensure KM follow the priorities communicated through monthly calls. And escalate the response delays to KM RA leads.</t>
  </si>
  <si>
    <t>Supplier not ready to share submission documents due to confidentiality reasons</t>
  </si>
  <si>
    <t>Escalate via Procurement team  GSM .
RA to proactively plan on such license applications looking at the VCP and get involved at supplier onboarding stage.</t>
  </si>
  <si>
    <t>Gyanendra/Pavan</t>
  </si>
  <si>
    <t>Souvik Das</t>
  </si>
  <si>
    <t>ISC - DMB</t>
  </si>
  <si>
    <t>YTD</t>
  </si>
  <si>
    <t xml:space="preserve">Sales </t>
  </si>
  <si>
    <t>Revenue in M</t>
  </si>
  <si>
    <t>141/143</t>
  </si>
  <si>
    <t>Mn</t>
  </si>
  <si>
    <t>OTIF</t>
  </si>
  <si>
    <t>CDD adherance</t>
  </si>
  <si>
    <t>Inventory</t>
  </si>
  <si>
    <t>(Business+Market+Service ) as % of sales</t>
  </si>
  <si>
    <t>&lt;</t>
  </si>
  <si>
    <t>22% / 49 M</t>
  </si>
  <si>
    <t>Ontime supply</t>
  </si>
  <si>
    <t>FSD adherance</t>
  </si>
  <si>
    <t>Production units</t>
  </si>
  <si>
    <t>Production number</t>
  </si>
  <si>
    <t>1332/1400</t>
  </si>
  <si>
    <t>CTB (12 weeks)</t>
  </si>
  <si>
    <t>Clear to build material avaialbility</t>
  </si>
  <si>
    <t xml:space="preserve">OOH % </t>
  </si>
  <si>
    <t>OOH % for revnue in the Qtr</t>
  </si>
  <si>
    <t xml:space="preserve">Market Inventory  </t>
  </si>
  <si>
    <t>Market inventory</t>
  </si>
  <si>
    <t>10 % reduction</t>
  </si>
  <si>
    <t>CDD push out / month</t>
  </si>
  <si>
    <t xml:space="preserve">CDD move out during to execution </t>
  </si>
  <si>
    <t xml:space="preserve">   Supplier Quality  - Product  Quality DMB</t>
  </si>
  <si>
    <t>SQN reduction</t>
  </si>
  <si>
    <t>Supplier Quality notification reduction</t>
  </si>
  <si>
    <t xml:space="preserve">Target </t>
  </si>
  <si>
    <t>SCAR Performance</t>
  </si>
  <si>
    <t>SCAR Clsoure
% SCARs Closed &lt; 180d</t>
  </si>
  <si>
    <t>SCARs on time to plan (OTTP)</t>
  </si>
  <si>
    <t>SICRs execution</t>
  </si>
  <si>
    <t>Monthly execution of high priority SICRs without any line down situation</t>
  </si>
  <si>
    <t>DEFOA</t>
  </si>
  <si>
    <t>commercial Defect On Arrival at customer place</t>
  </si>
  <si>
    <t>Factory Yeild ( NPI)</t>
  </si>
  <si>
    <t>(Total Units dispatched-Number of defective products during manufacturing) *100/Total units dispatched</t>
  </si>
  <si>
    <t>Yoshiro FD17 covers for Zen 90</t>
  </si>
  <si>
    <t>META-Hudut 41 systems + Morocco DEFOA</t>
  </si>
  <si>
    <t>UKI socking</t>
  </si>
  <si>
    <t>Intransit inventory (due to ME situation)</t>
  </si>
  <si>
    <t xml:space="preserve">NAM defoa </t>
  </si>
  <si>
    <t>Europe DEMO</t>
  </si>
  <si>
    <t>OOH% to revunue in Qtr.</t>
  </si>
  <si>
    <t>CDD push out</t>
  </si>
  <si>
    <t>Transit delay due to ME crises</t>
  </si>
  <si>
    <t>Daily monitoring and tracking /escalation</t>
  </si>
  <si>
    <t>Souvik</t>
  </si>
  <si>
    <t>Ongoing</t>
  </si>
  <si>
    <t xml:space="preserve">41 Hudut systems are under rev </t>
  </si>
  <si>
    <t>rev conversion</t>
  </si>
  <si>
    <t>Ranga</t>
  </si>
  <si>
    <t>Sep</t>
  </si>
  <si>
    <t xml:space="preserve">Stocking systems in UKI </t>
  </si>
  <si>
    <t>Ensure Stock units conversion to revenue</t>
  </si>
  <si>
    <t>Silvia</t>
  </si>
  <si>
    <t>NOV</t>
  </si>
  <si>
    <t>NAR commerical and FSL stock revnue conversion</t>
  </si>
  <si>
    <t>revenue conversion</t>
  </si>
  <si>
    <t>Sarah</t>
  </si>
  <si>
    <t>Sept</t>
  </si>
  <si>
    <t>OOH%</t>
  </si>
  <si>
    <t>Convert Funnel to OIT 4 M</t>
  </si>
  <si>
    <t>OIT conversion</t>
  </si>
  <si>
    <t>Sarahand Mark</t>
  </si>
  <si>
    <t>Hudut order 21 systems Q3 pull in</t>
  </si>
  <si>
    <t>pull in rev</t>
  </si>
  <si>
    <t>OOH %</t>
  </si>
  <si>
    <t>Namibia oder and venuzuala tender orders awaitied</t>
  </si>
  <si>
    <t>Drive Q3 revenue convertible OIT</t>
  </si>
  <si>
    <t>Mahmut</t>
  </si>
  <si>
    <t>EU B&amp;B OIT  for Q3 :1.5M</t>
  </si>
  <si>
    <t>Procurement DMB</t>
  </si>
  <si>
    <t>Productivity ( Nego)</t>
  </si>
  <si>
    <t>1% of Spend</t>
  </si>
  <si>
    <t>0.4 M € 
0.7 M € Stretch</t>
  </si>
  <si>
    <t>Material Availability (escalation)</t>
  </si>
  <si>
    <t>NPI / MLD</t>
  </si>
  <si>
    <t>NPI gate readiness</t>
  </si>
  <si>
    <t>-</t>
  </si>
  <si>
    <t>RFQ closure to meet NPI / MLD deliverables</t>
  </si>
  <si>
    <t>No of RFQ closed on time</t>
  </si>
  <si>
    <t>Supplier selection to meet NPI / MLD deliverables</t>
  </si>
  <si>
    <t>supplier selection per 12 NC for NPI</t>
  </si>
  <si>
    <t xml:space="preserve">Top Causes </t>
  </si>
  <si>
    <t>Logistis related</t>
  </si>
  <si>
    <t>Installation defect</t>
  </si>
  <si>
    <t>Part missing</t>
  </si>
  <si>
    <t>Damage in transit</t>
  </si>
  <si>
    <t>Delay in installations</t>
  </si>
  <si>
    <t xml:space="preserve">  C &amp; R</t>
  </si>
  <si>
    <t>Critical supplier Derisking</t>
  </si>
  <si>
    <t xml:space="preserve"> agrement on No of suppliers</t>
  </si>
  <si>
    <t>Agreement / budget / resource allocation</t>
  </si>
  <si>
    <t>Yes</t>
  </si>
  <si>
    <t>CTB</t>
  </si>
  <si>
    <t>FRU release delay - SCU , Avalue PC</t>
  </si>
  <si>
    <t>Anand</t>
  </si>
  <si>
    <t>Rols , KMWE, Yashirao</t>
  </si>
  <si>
    <t>Shivaraj Gopalan</t>
  </si>
  <si>
    <t>R&amp;D DMB</t>
  </si>
  <si>
    <t>NPI On-Time (%)</t>
  </si>
  <si>
    <r>
      <rPr>
        <b/>
        <sz val="10"/>
        <rFont val="Aptos Narrow"/>
        <family val="2"/>
        <scheme val="minor"/>
      </rPr>
      <t>% Dhruv NPI Milestone Readiness Index (%)</t>
    </r>
    <r>
      <rPr>
        <sz val="10"/>
        <rFont val="Aptos Narrow"/>
        <family val="2"/>
        <scheme val="minor"/>
      </rPr>
      <t xml:space="preserve">
</t>
    </r>
  </si>
  <si>
    <t>LCM Ontime (%)</t>
  </si>
  <si>
    <r>
      <rPr>
        <b/>
        <sz val="10"/>
        <color rgb="FF000000"/>
        <rFont val="Aptos Narrow"/>
        <family val="2"/>
        <scheme val="minor"/>
      </rPr>
      <t xml:space="preserve">% LCM Change Requests (CRs) implemented on or before the committed implementation date
</t>
    </r>
    <r>
      <rPr>
        <sz val="10"/>
        <color rgb="FF000000"/>
        <rFont val="Aptos Narrow"/>
        <family val="2"/>
        <scheme val="minor"/>
      </rPr>
      <t xml:space="preserve"> (within the reporting month.)</t>
    </r>
  </si>
  <si>
    <t>I2M Value Creation</t>
  </si>
  <si>
    <t>Increase innovation  value delivered</t>
  </si>
  <si>
    <t>NPI  -Design Maturity Index (%)</t>
  </si>
  <si>
    <r>
      <rPr>
        <b/>
        <sz val="10"/>
        <rFont val="Aptos Narrow"/>
        <family val="2"/>
        <scheme val="minor"/>
      </rPr>
      <t>% of design Completion with zero major Quality Issues</t>
    </r>
    <r>
      <rPr>
        <sz val="10"/>
        <rFont val="Aptos Narrow"/>
        <family val="2"/>
        <scheme val="minor"/>
      </rPr>
      <t xml:space="preserve">
1) Design Maturity 
2) Integration Quality / Forecast - PLC till SVAL
3) Risk Technical  - PLC till SVAL </t>
    </r>
  </si>
  <si>
    <t>NPI Dhruv - Say-Do Ratio (%)</t>
  </si>
  <si>
    <r>
      <rPr>
        <b/>
        <sz val="10"/>
        <rFont val="Aptos Narrow"/>
        <family val="2"/>
        <scheme val="minor"/>
      </rPr>
      <t>% Monthly Planned Deliverables vs Actual</t>
    </r>
    <r>
      <rPr>
        <sz val="10"/>
        <rFont val="Aptos Narrow"/>
        <family val="2"/>
        <scheme val="minor"/>
      </rPr>
      <t xml:space="preserve">
(LOD Checkist  - burndown)
PLC-161 ; SVER-  ; SVAL- ; RFD </t>
    </r>
  </si>
  <si>
    <t>NPI -Supplier Readiness Completion (%)</t>
  </si>
  <si>
    <r>
      <rPr>
        <b/>
        <sz val="10"/>
        <rFont val="Aptos Narrow"/>
        <family val="2"/>
        <scheme val="minor"/>
      </rPr>
      <t xml:space="preserve">% supplier deliverables completed and approved as per NPI plan up to PLC, SVAL milestones . 
( 130 Part/Assy ) </t>
    </r>
    <r>
      <rPr>
        <sz val="10"/>
        <rFont val="Aptos Narrow"/>
        <family val="2"/>
        <scheme val="minor"/>
      </rPr>
      <t xml:space="preserve">
(Sec 5 - DFM - SRPQP)- PSW Signoff) till PLC
( Sec 6 - PSW part Mfg)  - PSW Signoff Till Ser
(Sec 7 - IQ-PSW signoff)  - SVAL</t>
    </r>
  </si>
  <si>
    <t>LCM ::SICR Inflow vs Outflow</t>
  </si>
  <si>
    <t>SICR burndown [ outflow / inflow &gt; 1 ]</t>
  </si>
  <si>
    <t>&gt;=1</t>
  </si>
  <si>
    <t>Inflow</t>
  </si>
  <si>
    <t>Outflow</t>
  </si>
  <si>
    <t>LCM :: Production Delay due to delay in CR's</t>
  </si>
  <si>
    <t>Production stops due to delay in CR/SICR</t>
  </si>
  <si>
    <t>Critical &amp; MLD Milestone Delivery On-Time (%)</t>
  </si>
  <si>
    <t>% of intermediate milestones achieved as per plan</t>
  </si>
  <si>
    <t>Dhruv - PSW Sec5 is not on track</t>
  </si>
  <si>
    <t>SRPQP process agreement with supplier</t>
  </si>
  <si>
    <t xml:space="preserve">DMR correction based on DFM </t>
  </si>
  <si>
    <t>DMR correction based on Proto</t>
  </si>
  <si>
    <t>supplier DMR delayed</t>
  </si>
  <si>
    <t>Design updates</t>
  </si>
  <si>
    <t>Dhruv - LOD completion for PLC not on track</t>
  </si>
  <si>
    <t xml:space="preserve">PI : Mfg was not finalized ( C-arc assy) </t>
  </si>
  <si>
    <t xml:space="preserve">SQE delevarables </t>
  </si>
  <si>
    <t xml:space="preserve">R&amp;D : Technical risk impacted documents </t>
  </si>
  <si>
    <t>Prioritization of doc review with reviewers</t>
  </si>
  <si>
    <t>sicr Inflow vs outflow
High SICR's Inflow  in April month</t>
  </si>
  <si>
    <t xml:space="preserve">Obsolescence </t>
  </si>
  <si>
    <t>Mfg Location Change</t>
  </si>
  <si>
    <t>Quality Issues</t>
  </si>
  <si>
    <t xml:space="preserve">Adhoc request Flow is high </t>
  </si>
  <si>
    <t xml:space="preserve">Production Deviation </t>
  </si>
  <si>
    <t>Factory Production challenges-CBOM,Mfg Doc</t>
  </si>
  <si>
    <t>New Countary specific Orders</t>
  </si>
  <si>
    <t>Critical SICR's</t>
  </si>
  <si>
    <t>NPI On-Time</t>
  </si>
  <si>
    <t>SQE - PSW planning not ready for Sec 5 for PLC. 
PSW plan needed to meet Apr timeline</t>
  </si>
  <si>
    <t>Daily alingment with SQE team to bring the details on track</t>
  </si>
  <si>
    <t>SQE</t>
  </si>
  <si>
    <r>
      <rPr>
        <strike/>
        <sz val="10"/>
        <color rgb="FF000000"/>
        <rFont val="Aptos Narrow"/>
        <scheme val="minor"/>
      </rPr>
      <t xml:space="preserve">
30-04-2026
20-05-2026
29-07-2026
</t>
    </r>
    <r>
      <rPr>
        <sz val="10"/>
        <color rgb="FF000000"/>
        <rFont val="Aptos Narrow"/>
        <scheme val="minor"/>
      </rPr>
      <t>24-08-2026
28-09-2026</t>
    </r>
  </si>
  <si>
    <r>
      <t xml:space="preserve">Procurement - 
</t>
    </r>
    <r>
      <rPr>
        <strike/>
        <sz val="10"/>
        <color theme="1"/>
        <rFont val="Aptos Narrow"/>
        <family val="2"/>
        <scheme val="minor"/>
      </rPr>
      <t xml:space="preserve">Delay in Suspension, Collimator (KMWE), Critical Plastic parts </t>
    </r>
    <r>
      <rPr>
        <sz val="10"/>
        <color theme="1"/>
        <rFont val="Aptos Narrow"/>
        <family val="2"/>
        <scheme val="minor"/>
      </rPr>
      <t xml:space="preserve">and Ergotron Monitor final Prototype readiness
</t>
    </r>
    <r>
      <rPr>
        <strike/>
        <sz val="10"/>
        <color theme="1"/>
        <rFont val="Aptos Narrow"/>
        <family val="2"/>
        <scheme val="minor"/>
      </rPr>
      <t>- C-Arc Supplier agreement signoff</t>
    </r>
  </si>
  <si>
    <t>1.  Weekly supplier calls
2.  Daily management on Parts availability</t>
  </si>
  <si>
    <t>PSE</t>
  </si>
  <si>
    <r>
      <t xml:space="preserve">
17-03-2026
20-04-2026
30-07-2026
</t>
    </r>
    <r>
      <rPr>
        <sz val="10"/>
        <color theme="1"/>
        <rFont val="Aptos Narrow"/>
        <family val="2"/>
        <scheme val="minor"/>
      </rPr>
      <t>14-08-2026</t>
    </r>
  </si>
  <si>
    <t>R&amp;D / Intra company 
 Elevate Program :Grid  Delayed by 18 weeks,  New arrival date WK37 ( Old WK15), Parts still not dispatched from Best</t>
  </si>
  <si>
    <t xml:space="preserve">F2F meeting setup Wk23 with Inge and Raoul  </t>
  </si>
  <si>
    <t>R&amp;D / PSE</t>
  </si>
  <si>
    <t xml:space="preserve">R&amp;D  
 Elevate Program : Image cut issue in prototype 1 </t>
  </si>
  <si>
    <t xml:space="preserve">Root cause analysi sis in progress, initial cause identified as mechanical parts alignment </t>
  </si>
  <si>
    <r>
      <rPr>
        <strike/>
        <sz val="10"/>
        <color theme="1"/>
        <rFont val="Aptos Narrow"/>
        <family val="2"/>
        <scheme val="minor"/>
      </rPr>
      <t>15-07-2026</t>
    </r>
    <r>
      <rPr>
        <sz val="10"/>
        <color theme="1"/>
        <rFont val="Aptos Narrow"/>
        <family val="2"/>
        <scheme val="minor"/>
      </rPr>
      <t xml:space="preserve">
14-08-2026</t>
    </r>
  </si>
  <si>
    <t>LCM Ontime</t>
  </si>
  <si>
    <t xml:space="preserve">High SICR inflow </t>
  </si>
  <si>
    <t>Workshop with CFT &amp; STET team to iderntify the root causes, then implement the action</t>
  </si>
  <si>
    <t xml:space="preserve"> PMO/SQE/STET</t>
  </si>
  <si>
    <r>
      <t xml:space="preserve">27-02-2026
</t>
    </r>
    <r>
      <rPr>
        <sz val="10"/>
        <color theme="1"/>
        <rFont val="Aptos Narrow"/>
        <family val="2"/>
        <scheme val="minor"/>
      </rPr>
      <t>30-06-2026</t>
    </r>
  </si>
  <si>
    <t xml:space="preserve">Priority based PI planning </t>
  </si>
  <si>
    <t>PI3 planning complated , report will be shared with all stakeholders</t>
  </si>
  <si>
    <t xml:space="preserve"> PMO/Functional Mgrs</t>
  </si>
  <si>
    <t>SQE Resource Capacity Challenge</t>
  </si>
  <si>
    <t xml:space="preserve">resources will be onboarded in the month of August ( Mid) . Few projects are pending and to be completed </t>
  </si>
  <si>
    <t xml:space="preserve">R&amp;D  - Make DMR closure  - Delayed by 2weeks </t>
  </si>
  <si>
    <t xml:space="preserve">Daily Class room working sessions  ongoing </t>
  </si>
  <si>
    <r>
      <t xml:space="preserve">28-05-2026
</t>
    </r>
    <r>
      <rPr>
        <sz val="10"/>
        <color theme="1"/>
        <rFont val="Aptos Narrow"/>
        <family val="2"/>
        <scheme val="minor"/>
      </rPr>
      <t>12-06-2026</t>
    </r>
  </si>
  <si>
    <t xml:space="preserve">PI  deliverables delayed for PLC readyness considering Best release which is compleitng in April'26 </t>
  </si>
  <si>
    <t xml:space="preserve">Worshop completed in Dec'25, without improvement </t>
  </si>
  <si>
    <t>PIPM</t>
  </si>
  <si>
    <r>
      <rPr>
        <strike/>
        <sz val="10"/>
        <color theme="1"/>
        <rFont val="Aptos Narrow"/>
        <family val="2"/>
        <scheme val="minor"/>
      </rPr>
      <t xml:space="preserve">2/27/2026
</t>
    </r>
    <r>
      <rPr>
        <sz val="10"/>
        <color theme="1"/>
        <rFont val="Aptos Narrow"/>
        <family val="2"/>
        <scheme val="minor"/>
      </rPr>
      <t>20-Apr-2026</t>
    </r>
  </si>
  <si>
    <t>Product Mkt - Navigation Requirements still not closed, impacting PLC readyness</t>
  </si>
  <si>
    <t xml:space="preserve">Workshop planned with Styker to close all the open reqiurements </t>
  </si>
  <si>
    <t>Product Mkt</t>
  </si>
  <si>
    <t xml:space="preserve">R&amp;D
 SW 2nd Build delayed by 1.5 months ( Initial Jan'26 completion) for the Integration ( post PLC) </t>
  </si>
  <si>
    <t xml:space="preserve">Worshop planned with PM in PIC ( Wk5)  </t>
  </si>
  <si>
    <t>SW &amp; PMO</t>
  </si>
  <si>
    <t>PMO -  LOD completion delaying PLC  both for R&amp;D and CFT deliverables ( Dependency &amp; Review comments closure)</t>
  </si>
  <si>
    <t xml:space="preserve">1) Daily Management with R&amp;D and CFT  on LOD closure 
2) Daily tracking with burn down </t>
  </si>
  <si>
    <t xml:space="preserve"> PMO</t>
  </si>
  <si>
    <r>
      <t xml:space="preserve">2/27/2026
30-Mar-2026
</t>
    </r>
    <r>
      <rPr>
        <sz val="10"/>
        <color theme="1"/>
        <rFont val="Aptos Narrow"/>
        <family val="2"/>
        <scheme val="minor"/>
      </rPr>
      <t>30-05-2026</t>
    </r>
  </si>
  <si>
    <t>R&amp;D : Thermal Issue</t>
  </si>
  <si>
    <t xml:space="preserve">Redesign of the components to meet the thermal criteria </t>
  </si>
  <si>
    <r>
      <rPr>
        <strike/>
        <sz val="10"/>
        <color theme="1"/>
        <rFont val="Aptos Narrow"/>
        <family val="2"/>
        <scheme val="minor"/>
      </rPr>
      <t xml:space="preserve">
07-Apr-2026
27-Apr-2026</t>
    </r>
    <r>
      <rPr>
        <sz val="10"/>
        <color theme="1"/>
        <rFont val="Aptos Narrow"/>
        <family val="2"/>
        <scheme val="minor"/>
      </rPr>
      <t xml:space="preserve">
06-05-2026</t>
    </r>
  </si>
  <si>
    <t xml:space="preserve">High Adhoc change request </t>
  </si>
  <si>
    <t>1) Workshop wirh Factory team - Identify the upcoming countary specific orders</t>
  </si>
  <si>
    <t>PMO/ISC</t>
  </si>
  <si>
    <t xml:space="preserve">Supplier Transfer ( Reychecm )  - Parts release to production. Adaptor plate assy in Critical path </t>
  </si>
  <si>
    <t xml:space="preserve">PSW &amp; OQ optimization &amp; execution </t>
  </si>
  <si>
    <t>Dhruv NPI On Time</t>
  </si>
  <si>
    <t>Monthly Targets</t>
  </si>
  <si>
    <t>Weighted Score</t>
  </si>
  <si>
    <t>Area</t>
  </si>
  <si>
    <t>KPI</t>
  </si>
  <si>
    <t>Measurement</t>
  </si>
  <si>
    <t xml:space="preserve">Total </t>
  </si>
  <si>
    <t>Mar</t>
  </si>
  <si>
    <t>Jun</t>
  </si>
  <si>
    <t>Design Output</t>
  </si>
  <si>
    <t>% HW Design Completion</t>
  </si>
  <si>
    <t>DMR released / Total DMR</t>
  </si>
  <si>
    <t>% SW Design Completion</t>
  </si>
  <si>
    <t>SW Features Developed / Total SW Features</t>
  </si>
  <si>
    <t>Documents closure / Upcoming Milestone readiness</t>
  </si>
  <si>
    <t>LOD Completion Status</t>
  </si>
  <si>
    <t>Documents Released in Windchill / Total Documents</t>
  </si>
  <si>
    <t>Parts Readiness</t>
  </si>
  <si>
    <t xml:space="preserve">Prototype Availability </t>
  </si>
  <si>
    <t>Prorotype available / Total Prototypes</t>
  </si>
  <si>
    <t>PSW Completion</t>
  </si>
  <si>
    <t>PSW Sec5 Completion / Total PSW</t>
  </si>
  <si>
    <t>Final Parts Availability</t>
  </si>
  <si>
    <t>Monthly Plan vs Actual</t>
  </si>
  <si>
    <t>Factory Readiness</t>
  </si>
  <si>
    <t>Product Industrializaiton Completion</t>
  </si>
  <si>
    <t>TMV Readiness 
Pilot Run Readiness</t>
  </si>
  <si>
    <t>Verification &amp; Validation</t>
  </si>
  <si>
    <t>Usability and Compliance Completion</t>
  </si>
  <si>
    <t>Formative Readiness
Summative Readiness
NC Dry Run and Final</t>
  </si>
  <si>
    <t>Dry Run &amp; System Verification Completion</t>
  </si>
  <si>
    <t xml:space="preserve">Integration Plan and Completion
</t>
  </si>
  <si>
    <t>Engineering Issues and Defect Resolution</t>
  </si>
  <si>
    <t>Defects Closed / Total Defects</t>
  </si>
  <si>
    <t>Market Availability</t>
  </si>
  <si>
    <t>Regulatory Submission Readiness</t>
  </si>
  <si>
    <t>Equivalence
Claims Substantiationx
Technical File Readiness</t>
  </si>
  <si>
    <t>Market Readiness</t>
  </si>
  <si>
    <t>Overall Release Predictability / Readiness Index</t>
  </si>
  <si>
    <t>Release Confidence Index</t>
  </si>
  <si>
    <t>KPI (PLC)</t>
  </si>
  <si>
    <t>Weight</t>
  </si>
  <si>
    <t>HW Design</t>
  </si>
  <si>
    <t>Prototype Availability</t>
  </si>
  <si>
    <t>LOD Completion</t>
  </si>
  <si>
    <t>Total</t>
  </si>
  <si>
    <t>Tarun S</t>
  </si>
  <si>
    <t>Marketing DMB</t>
  </si>
  <si>
    <t>Win rate for NPIs</t>
  </si>
  <si>
    <t>Win Rate  of Zenition 90 , Zenition 30 and Zenition 10</t>
  </si>
  <si>
    <t>Dhruv Commercial Launch</t>
  </si>
  <si>
    <t>Readiness for commercial success of Dhruv</t>
  </si>
  <si>
    <t xml:space="preserve">Portfolio % CTP </t>
  </si>
  <si>
    <t xml:space="preserve">% CTP achieved over portfolio </t>
  </si>
  <si>
    <t>Sales tool delivery</t>
  </si>
  <si>
    <t>% of sales enablement tools released on time as per plan</t>
  </si>
  <si>
    <t>Sales support</t>
  </si>
  <si>
    <t>% MoS Sales support queries answered within 5 working days</t>
  </si>
  <si>
    <t>Sales training</t>
  </si>
  <si>
    <t>% of  sales team trained on Clinical application area, Product proposition and competition  per plan</t>
  </si>
  <si>
    <t>Win rate  for NPIs</t>
  </si>
  <si>
    <t>Z10</t>
  </si>
  <si>
    <t>Z30</t>
  </si>
  <si>
    <t>Win rate  for Z30</t>
  </si>
  <si>
    <t>Solo
(33% deals lost as customers asked for compact system;
20% deals lost due to competitive price;
20% deals lost as all customers prefered GE systems)</t>
  </si>
  <si>
    <t>Specs favoring competition 
(COO (2), CMOS(2), FD17(3), latest windows (3), higher free space, weight issue, mini C-arm or 3D required)</t>
  </si>
  <si>
    <t>Price
 (61% deals lost below 60k; 
80% deals lost below 70k)</t>
  </si>
  <si>
    <t>Brand Preference
(42% customers preferred Siemens and 58% preferred Ziehm due to existing fleet and user preference)</t>
  </si>
  <si>
    <t>Others</t>
  </si>
  <si>
    <t>Win rate  for Z10</t>
  </si>
  <si>
    <t>Price
 (57% deals lost below 50k; 
22% losses in Brazil due to additonal tax which makes us less competitive)</t>
  </si>
  <si>
    <t>Solo
(80% of the deals lost to Solo due to price;
5% due to compact system ask;
5% due to brand preference to GE)</t>
  </si>
  <si>
    <t>Not a viable opportunity
(tenders not in favor or customer not pursing opportunities)</t>
  </si>
  <si>
    <t>Specs favoring compeition</t>
  </si>
  <si>
    <t>Dhruv  Commercial Launch</t>
  </si>
  <si>
    <t>NAR preLaunch Plan creation is running late. District Sales Leaderss are concerned about sales team getting distracted from 2027 targets. Exploring alternative scale-up.</t>
  </si>
  <si>
    <t>AI Application Imagery running late. Process complication due to AI Policy. Budget approval pending.
Product Imagery running late due to delayed inputs.</t>
  </si>
  <si>
    <t>Messaging Playbook is running late. Delay reduced to 2 weeks now.</t>
  </si>
  <si>
    <t xml:space="preserve">Zenition 10  is losing against low cost systems </t>
  </si>
  <si>
    <t>Webinar to counter the value prop of low value system like Cios Fit FD</t>
  </si>
  <si>
    <t>Nisha L</t>
  </si>
  <si>
    <t>NDA signed</t>
  </si>
  <si>
    <t xml:space="preserve">Total cost of ownership / Price cited as the major contributor for loss agains low cost systems  </t>
  </si>
  <si>
    <t>Inclusion of EW warrranty in catalogue. Catalog is set and priced. Will open for all regions in Q3 release cycle (August). Syncraview communication will be rolled out on 14th August</t>
  </si>
  <si>
    <t>Nisha L/Rohit</t>
  </si>
  <si>
    <r>
      <t xml:space="preserve">Win rate for Z10/30 is dipping
</t>
    </r>
    <r>
      <rPr>
        <i/>
        <sz val="11"/>
        <color rgb="FFFF0000"/>
        <rFont val="Aptos Narrow"/>
        <family val="2"/>
        <scheme val="minor"/>
      </rPr>
      <t>Budget not available  for Growth Sales Campaign</t>
    </r>
  </si>
  <si>
    <t>Drive volume and higher ASP through targeted sales competition to drive win rate for Z10/30/90</t>
  </si>
  <si>
    <t>Solo is the main reason for loss in Z30 segment</t>
  </si>
  <si>
    <t>Finalize the objective and expected outcome for Conjoint analysis. Create and share the Questionaiire for the conjoint analysis with Silvia and Mahmut to take it forward</t>
  </si>
  <si>
    <t>Santosh/Nisha L</t>
  </si>
  <si>
    <t xml:space="preserve">Zenition 30 - Losing against GE, and Siemens </t>
  </si>
  <si>
    <t xml:space="preserve">Sales team trained on Jul-10 through webinar on Z30 competition on latest landmines against GE OEC One, Siemens Cios Flow.Neo </t>
  </si>
  <si>
    <t xml:space="preserve">Z10/30 losing on pricing </t>
  </si>
  <si>
    <t xml:space="preserve">Long term - Bom cost analysis and reduction strategy for Zenition 10 </t>
  </si>
  <si>
    <t>Z30/10 losing on pricing and vs Solo</t>
  </si>
  <si>
    <r>
      <t>Sales competition campaign to be introduced to maximise win for Z10/30 in Growth and EU and get the mindshare of the account managers -</t>
    </r>
    <r>
      <rPr>
        <sz val="10"/>
        <color rgb="FFFF0000"/>
        <rFont val="Aptos Narrow"/>
        <family val="2"/>
        <scheme val="minor"/>
      </rPr>
      <t xml:space="preserve"> Budget not approved </t>
    </r>
  </si>
  <si>
    <t>Nisha L/Ketan</t>
  </si>
  <si>
    <t xml:space="preserve">NDA with J&amp;J behind schedule </t>
  </si>
  <si>
    <r>
      <rPr>
        <sz val="10"/>
        <color rgb="FF000000"/>
        <rFont val="Aptos Narrow"/>
        <family val="2"/>
        <scheme val="minor"/>
      </rPr>
      <t xml:space="preserve">Help required from Geoff DeCosta--&gt; </t>
    </r>
    <r>
      <rPr>
        <i/>
        <sz val="10"/>
        <color rgb="FF000000"/>
        <rFont val="Aptos Narrow"/>
        <family val="2"/>
        <scheme val="minor"/>
      </rPr>
      <t xml:space="preserve">NDA has been signed </t>
    </r>
  </si>
  <si>
    <t>Shomik M</t>
  </si>
  <si>
    <t xml:space="preserve">Readiness for commercial success of Dhruv </t>
  </si>
  <si>
    <r>
      <rPr>
        <sz val="8"/>
        <color theme="1"/>
        <rFont val="Aptos Narrow"/>
        <family val="2"/>
        <scheme val="minor"/>
      </rPr>
      <t xml:space="preserve">Product imagery and AI Application Imagery delayed
MVS files revised. Added 1 week delay. C-Stand files are still undergoing revision. Total delay of about 10 weeks.
</t>
    </r>
    <r>
      <rPr>
        <b/>
        <sz val="8"/>
        <color theme="1"/>
        <rFont val="Aptos Narrow"/>
        <family val="2"/>
        <scheme val="minor"/>
      </rPr>
      <t>WK29 input will be considered as final design. If any significant changes happen, we will evaluate its impact.</t>
    </r>
    <r>
      <rPr>
        <sz val="8"/>
        <color theme="1"/>
        <rFont val="Aptos Narrow"/>
        <family val="2"/>
        <scheme val="minor"/>
      </rPr>
      <t xml:space="preserve">
</t>
    </r>
    <r>
      <rPr>
        <b/>
        <sz val="8"/>
        <color theme="1"/>
        <rFont val="Aptos Narrow"/>
        <family val="2"/>
        <scheme val="minor"/>
      </rPr>
      <t xml:space="preserve">10Aug26 </t>
    </r>
    <r>
      <rPr>
        <sz val="8"/>
        <color theme="1"/>
        <rFont val="Aptos Narrow"/>
        <family val="2"/>
        <scheme val="minor"/>
      </rPr>
      <t xml:space="preserve">: C-Stand MUS files had gaps even after second revision. Corrected file recieved. Phase-1 delivery without on-screen content is now secured.
</t>
    </r>
    <r>
      <rPr>
        <sz val="10"/>
        <color theme="1"/>
        <rFont val="Aptos Narrow"/>
        <family val="2"/>
        <scheme val="minor"/>
      </rPr>
      <t xml:space="preserve">
AI Application imagery plan A is stuck due to legacy image rights. Plan B assessment started. Plan B expected to be ready by WK36, subject to budget allocation confirmation.</t>
    </r>
  </si>
  <si>
    <t>Shomik M / Anshuman / Rohan J</t>
  </si>
  <si>
    <r>
      <rPr>
        <strike/>
        <sz val="10"/>
        <color theme="1"/>
        <rFont val="Aptos Narrow"/>
        <family val="2"/>
        <scheme val="minor"/>
      </rPr>
      <t xml:space="preserve">
</t>
    </r>
    <r>
      <rPr>
        <sz val="10"/>
        <color theme="1"/>
        <rFont val="Aptos Narrow"/>
        <family val="2"/>
        <scheme val="minor"/>
      </rPr>
      <t xml:space="preserve">
Vendor selection is done.
Claims study work has now started. Also aligned with NAR and EU to release assets with Claims by May-2027</t>
    </r>
  </si>
  <si>
    <t>Shomik M / Anshuman / Ashish S</t>
  </si>
  <si>
    <t>%CTP</t>
  </si>
  <si>
    <t>Zenition lite configuration was contributing to a less richer configuration</t>
  </si>
  <si>
    <t>Closure of Zenition Lite configs in catalogue</t>
  </si>
  <si>
    <t xml:space="preserve">Intekhab </t>
  </si>
  <si>
    <r>
      <rPr>
        <sz val="8"/>
        <color theme="1"/>
        <rFont val="Aptos Narrow"/>
        <family val="2"/>
        <scheme val="minor"/>
      </rPr>
      <t xml:space="preserve">NAR Launch plan creation running late
Resumed this workstream with NAR, and running 1 month late. Initial discussion done, expecting plan creation by </t>
    </r>
    <r>
      <rPr>
        <strike/>
        <sz val="8"/>
        <color theme="1"/>
        <rFont val="Aptos Narrow"/>
        <family val="2"/>
        <scheme val="minor"/>
      </rPr>
      <t xml:space="preserve">26WK29.
</t>
    </r>
    <r>
      <rPr>
        <sz val="8"/>
        <color theme="1"/>
        <rFont val="Aptos Narrow"/>
        <family val="2"/>
        <scheme val="minor"/>
      </rPr>
      <t xml:space="preserve">Prep ongoing, expected completion: 26WK31. Plans being made for NASS-2026 as a NDA roadshow and Launch is preferred at NASS 2027 as it is a Spine Show. AAOS has too much of ortho-activity going on and we can get lost.
Create launch plan for NAR along with Jason
then handshake with otherstakeholders post August
</t>
    </r>
    <r>
      <rPr>
        <sz val="10"/>
        <color theme="1"/>
        <rFont val="Aptos Narrow"/>
        <family val="2"/>
        <scheme val="minor"/>
      </rPr>
      <t xml:space="preserve">
</t>
    </r>
    <r>
      <rPr>
        <sz val="12"/>
        <color theme="1"/>
        <rFont val="Aptos Narrow"/>
        <family val="2"/>
        <scheme val="minor"/>
      </rPr>
      <t>DSLs are concerned about sales team getting distracted from 2027 targets. Exploring alternative scale-up.</t>
    </r>
  </si>
  <si>
    <t>Shomik, Jason</t>
  </si>
  <si>
    <t>Messaging input finalization running late</t>
  </si>
  <si>
    <r>
      <rPr>
        <sz val="8"/>
        <color theme="1"/>
        <rFont val="Aptos Narrow"/>
        <family val="2"/>
        <scheme val="minor"/>
      </rPr>
      <t xml:space="preserve">Final Product Messaging running late
Philips overall and IGTS have moved to Value Based Messaging. We learnt this mid-way of our messaging and are pivoting to 
Value Based Messaging. Initial discussions done with vendor. Internal workshop planned to identify the best plan to recover the delay.
</t>
    </r>
    <r>
      <rPr>
        <sz val="10"/>
        <color theme="1"/>
        <rFont val="Aptos Narrow"/>
        <family val="2"/>
        <scheme val="minor"/>
      </rPr>
      <t xml:space="preserve">
Alignment done with vendor to find a bridge between the existing framework to connect to Value Based Messaging. Delay reduced to 2 weeks and plan is to absorb this by the end of Oct'26</t>
    </r>
  </si>
  <si>
    <t>Shomik, Rohan, Maruti</t>
  </si>
  <si>
    <r>
      <rPr>
        <strike/>
        <sz val="10"/>
        <color theme="1"/>
        <rFont val="Aptos Narrow"/>
        <family val="2"/>
        <scheme val="minor"/>
      </rPr>
      <t>7/31/2026</t>
    </r>
    <r>
      <rPr>
        <sz val="10"/>
        <color theme="1"/>
        <rFont val="Aptos Narrow"/>
        <family val="2"/>
        <scheme val="minor"/>
      </rPr>
      <t xml:space="preserve">
31Oct-2026</t>
    </r>
  </si>
  <si>
    <t xml:space="preserve">% CTP </t>
  </si>
  <si>
    <t>84.2% Customer Target Price (CTP) realisation in CEE &amp; UK for Zenition portfolio for YTD 2026. It was 92% CTP realisation for same period in 2025</t>
  </si>
  <si>
    <t>Z70 discounting control for Europe. Zone CP escalation threshold changed from standard delegation to -7%. 3% indexation planned for July.</t>
  </si>
  <si>
    <t>PMs and Intekhab</t>
  </si>
  <si>
    <t xml:space="preserve">Driving up price of Z90 in US &amp; EU and in effect the pricing of portfolio is improved </t>
  </si>
  <si>
    <r>
      <rPr>
        <sz val="8"/>
        <color theme="1"/>
        <rFont val="Aptos Narrow"/>
        <family val="2"/>
        <scheme val="minor"/>
      </rPr>
      <t>1. Selling more in US through EP penetration for Z90
2. Evidence based selling to increase win rate in US for Z90
3. Strengthening of clinical areas that require   richer configuration  of Z90 M in Europe For eg mobile AngioCT</t>
    </r>
    <r>
      <rPr>
        <sz val="10"/>
        <color theme="1"/>
        <rFont val="Aptos Narrow"/>
        <family val="2"/>
        <scheme val="minor"/>
      </rPr>
      <t xml:space="preserve"> 
Create messaging for Angio CT  Running behind on compatability statement--&gt;Project team to come up with revised timelines. Support required from PMO team
</t>
    </r>
  </si>
  <si>
    <t>Pedro Sanches</t>
  </si>
  <si>
    <t>NAR contributes -ve Price realisation albeit  only -3%</t>
  </si>
  <si>
    <t xml:space="preserve">Reimbursement for EP procedures in ASC centers since Jan 2026. Webinar and asset release on Z90  value prop and positioning in  EP; Training completed for NAR </t>
  </si>
  <si>
    <t>Sales Training</t>
  </si>
  <si>
    <t>Cancellation of Growth Training</t>
  </si>
  <si>
    <r>
      <t xml:space="preserve">Sales Training planned for  </t>
    </r>
    <r>
      <rPr>
        <strike/>
        <sz val="10"/>
        <color theme="1"/>
        <rFont val="Aptos Narrow"/>
        <family val="2"/>
        <scheme val="minor"/>
      </rPr>
      <t>LATAM an</t>
    </r>
    <r>
      <rPr>
        <sz val="10"/>
        <color theme="1"/>
        <rFont val="Aptos Narrow"/>
        <family val="2"/>
        <scheme val="minor"/>
      </rPr>
      <t xml:space="preserve">d  Japan  in  </t>
    </r>
    <r>
      <rPr>
        <strike/>
        <sz val="10"/>
        <color theme="1"/>
        <rFont val="Aptos Narrow"/>
        <family val="2"/>
        <scheme val="minor"/>
      </rPr>
      <t>April'26 and</t>
    </r>
    <r>
      <rPr>
        <sz val="10"/>
        <color theme="1"/>
        <rFont val="Aptos Narrow"/>
        <family val="2"/>
        <scheme val="minor"/>
      </rPr>
      <t xml:space="preserve"> May '26 respectively</t>
    </r>
  </si>
  <si>
    <t>Santosh Shivle</t>
  </si>
  <si>
    <t>Notes Rohan</t>
  </si>
  <si>
    <t xml:space="preserve">-IB asset is red due to service claims
-Product imagery / Application for FD17 is red due to delay of STP files of MUS (make up sheet)
</t>
  </si>
  <si>
    <t>Solo</t>
  </si>
  <si>
    <t>Specs favoring competition</t>
  </si>
  <si>
    <t>Price</t>
  </si>
  <si>
    <t>Brand Preference</t>
  </si>
  <si>
    <t>Not a viable opportunity</t>
  </si>
  <si>
    <t>Product Imagery &amp; AI Imagery</t>
  </si>
  <si>
    <t>Claims Study</t>
  </si>
  <si>
    <t>NAR Launch Plan creation</t>
  </si>
  <si>
    <t>Messaging</t>
  </si>
  <si>
    <t>Inclusion of EW warrranty in catalogue. Catalog is set and priced. Will open for all regions in Q3 release cycle (August)</t>
  </si>
  <si>
    <t>Problem solving Session with MT ( Rohit et al) on the Z30 positioning against Solo and counters effectiveness. Analysis is completed and call to be set up with MT members based on availability.</t>
  </si>
  <si>
    <r>
      <t xml:space="preserve">
Short term - Proposal being worked on country-wise target price to win more in Growth region. </t>
    </r>
    <r>
      <rPr>
        <sz val="10"/>
        <color rgb="FFFF0000"/>
        <rFont val="Aptos Narrow"/>
        <family val="2"/>
        <scheme val="minor"/>
      </rPr>
      <t xml:space="preserve">Awaiting Mahmut's confirmation on proposal shared.
</t>
    </r>
    <r>
      <rPr>
        <sz val="10"/>
        <color theme="1"/>
        <rFont val="Aptos Narrow"/>
        <family val="2"/>
        <scheme val="minor"/>
      </rPr>
      <t>Long term - Bom cost analysis and reduction strategy for Zenition 10</t>
    </r>
  </si>
  <si>
    <t>Nisha L/Mahmut</t>
  </si>
  <si>
    <r>
      <rPr>
        <sz val="10"/>
        <color rgb="FFFF0000"/>
        <rFont val="Aptos Narrow"/>
        <family val="2"/>
        <scheme val="minor"/>
      </rPr>
      <t>Product imagery delayed
MVS files revised. Added 1 week delay. C-Stand files are still undergoing revision. Total delay of about 10 weeks.</t>
    </r>
    <r>
      <rPr>
        <sz val="10"/>
        <color theme="1"/>
        <rFont val="Aptos Narrow"/>
        <family val="2"/>
        <scheme val="minor"/>
      </rPr>
      <t xml:space="preserve">
</t>
    </r>
    <r>
      <rPr>
        <b/>
        <sz val="10"/>
        <color theme="1"/>
        <rFont val="Aptos Narrow"/>
        <family val="2"/>
        <scheme val="minor"/>
      </rPr>
      <t>WK29 input will be considered as final design. If any significant changes happen, we will evaluate its impact.</t>
    </r>
  </si>
  <si>
    <t>Shomik M/Anshuman</t>
  </si>
  <si>
    <r>
      <rPr>
        <strike/>
        <sz val="10"/>
        <color theme="1"/>
        <rFont val="Aptos Narrow"/>
        <family val="2"/>
        <scheme val="minor"/>
      </rPr>
      <t>5/15/2026</t>
    </r>
    <r>
      <rPr>
        <sz val="10"/>
        <color theme="1"/>
        <rFont val="Aptos Narrow"/>
        <family val="2"/>
        <scheme val="minor"/>
      </rPr>
      <t xml:space="preserve">
6/15/2026</t>
    </r>
  </si>
  <si>
    <r>
      <t>Vendor finalization pending for Formative &amp; Claims Study</t>
    </r>
    <r>
      <rPr>
        <strike/>
        <sz val="10"/>
        <color rgb="FFFF0000"/>
        <rFont val="Aptos Narrow"/>
        <family val="2"/>
        <scheme val="minor"/>
      </rPr>
      <t xml:space="preserve">
</t>
    </r>
    <r>
      <rPr>
        <strike/>
        <sz val="10"/>
        <rFont val="Aptos Narrow"/>
        <family val="2"/>
        <scheme val="minor"/>
      </rPr>
      <t xml:space="preserve">
</t>
    </r>
    <r>
      <rPr>
        <sz val="10"/>
        <rFont val="Aptos Narrow"/>
        <family val="2"/>
        <scheme val="minor"/>
      </rPr>
      <t xml:space="preserve">Final quotes recieved from both vendors in WK27(30Jun26). </t>
    </r>
    <r>
      <rPr>
        <sz val="10"/>
        <color rgb="FFFF0000"/>
        <rFont val="Aptos Narrow"/>
        <family val="2"/>
        <scheme val="minor"/>
      </rPr>
      <t xml:space="preserve">Procurement tasks and PO generation activity underway. Expecting vendor finalization by 24July26.
</t>
    </r>
    <r>
      <rPr>
        <b/>
        <sz val="10"/>
        <color theme="1"/>
        <rFont val="Aptos Narrow"/>
        <family val="2"/>
        <scheme val="minor"/>
      </rPr>
      <t>Will explore exclusion of Claims in first set of Marketing assets(510K pending stage), if there is no impact to OIT and Sales and impact to marketing budget is acceptable</t>
    </r>
    <r>
      <rPr>
        <sz val="10"/>
        <color rgb="FFFF0000"/>
        <rFont val="Aptos Narrow"/>
        <family val="2"/>
        <scheme val="minor"/>
      </rPr>
      <t>.</t>
    </r>
  </si>
  <si>
    <r>
      <rPr>
        <strike/>
        <sz val="10"/>
        <color theme="1"/>
        <rFont val="Aptos Narrow"/>
        <family val="2"/>
        <scheme val="minor"/>
      </rPr>
      <t>5/22/2026</t>
    </r>
    <r>
      <rPr>
        <sz val="10"/>
        <color theme="1"/>
        <rFont val="Aptos Narrow"/>
        <family val="2"/>
        <scheme val="minor"/>
      </rPr>
      <t xml:space="preserve">
6/19/2026</t>
    </r>
  </si>
  <si>
    <r>
      <rPr>
        <sz val="10"/>
        <color rgb="FFFF0000"/>
        <rFont val="Aptos Narrow"/>
        <family val="2"/>
        <scheme val="minor"/>
      </rPr>
      <t xml:space="preserve">NAR Launch plan creation running late
</t>
    </r>
    <r>
      <rPr>
        <sz val="10"/>
        <color theme="1"/>
        <rFont val="Aptos Narrow"/>
        <family val="2"/>
        <scheme val="minor"/>
      </rPr>
      <t xml:space="preserve">
Resumed this workstream with NAR, and running 1 month late. Initial discussion done, expecting plan creation by </t>
    </r>
    <r>
      <rPr>
        <strike/>
        <sz val="10"/>
        <color theme="1"/>
        <rFont val="Aptos Narrow"/>
        <family val="2"/>
        <scheme val="minor"/>
      </rPr>
      <t xml:space="preserve">26WK29.
</t>
    </r>
    <r>
      <rPr>
        <sz val="10"/>
        <color theme="1"/>
        <rFont val="Aptos Narrow"/>
        <family val="2"/>
        <scheme val="minor"/>
      </rPr>
      <t>Prep ongoing, expected completion: 26WK31. Plans being made for NASS-2026 as a NDA roadshow and Launch is preferred at NASS 2027 as it is a Spine Show. AAOS has too much of ortho-activity going on and we can get lost.</t>
    </r>
  </si>
  <si>
    <r>
      <rPr>
        <sz val="10"/>
        <color rgb="FFFF0000"/>
        <rFont val="Aptos Narrow"/>
        <family val="2"/>
        <scheme val="minor"/>
      </rPr>
      <t xml:space="preserve">Final Product Messaging running late
</t>
    </r>
    <r>
      <rPr>
        <sz val="10"/>
        <color theme="1"/>
        <rFont val="Aptos Narrow"/>
        <family val="2"/>
        <scheme val="minor"/>
      </rPr>
      <t xml:space="preserve">
Philips overall and IGTS have moved to Value Based Messaging. We learnt this mid-way of our messaging and are pivoting to 
Value Based Messaging. Initial discussions done with vendor. Internal workshop planned to identify the best plan to recover the delay.</t>
    </r>
  </si>
  <si>
    <t>Shomik, Rohan</t>
  </si>
  <si>
    <t xml:space="preserve">1. Selling more in US through EP penetration for Z90
2. Evidence based selling to increase win rate in US for Z90
3. Strengthening of clinical areas that require   richer configuration  of Z90 M in Europe For eg mobile AngioCT Create messaging for Angio CT  Running behind on compatability statement--&gt;Project team to come up with revised timelines. Support required from PMO team
</t>
  </si>
  <si>
    <r>
      <rPr>
        <strike/>
        <sz val="10"/>
        <color theme="1"/>
        <rFont val="Aptos Narrow"/>
        <family val="2"/>
        <scheme val="minor"/>
      </rPr>
      <t xml:space="preserve">5/30/2026
</t>
    </r>
    <r>
      <rPr>
        <sz val="10"/>
        <color theme="1"/>
        <rFont val="Aptos Narrow"/>
        <family val="2"/>
        <scheme val="minor"/>
      </rPr>
      <t>2026</t>
    </r>
  </si>
  <si>
    <t>Abhishek C</t>
  </si>
  <si>
    <t>Customer Service DMB</t>
  </si>
  <si>
    <t>Customer Satisfaction</t>
  </si>
  <si>
    <t>NPS</t>
  </si>
  <si>
    <t>Quarterly</t>
  </si>
  <si>
    <t>CS Sales</t>
  </si>
  <si>
    <t>CS Revenue</t>
  </si>
  <si>
    <t>CS Profitability</t>
  </si>
  <si>
    <t>Margins IGM%</t>
  </si>
  <si>
    <t>CP %</t>
  </si>
  <si>
    <t>Contract penetration Exc EOL/EOS System</t>
  </si>
  <si>
    <t>POS Contract %</t>
  </si>
  <si>
    <t>Point of sale of service contract</t>
  </si>
  <si>
    <t>Contract price Improvement (M €)</t>
  </si>
  <si>
    <t>Contract target price realisation improvement</t>
  </si>
  <si>
    <t>Service Productivity</t>
  </si>
  <si>
    <t>Service Cost Savings</t>
  </si>
  <si>
    <t>Remote resolution</t>
  </si>
  <si>
    <t>Remote resolution cases %</t>
  </si>
  <si>
    <t>OPF%</t>
  </si>
  <si>
    <t>One part Fix %</t>
  </si>
  <si>
    <t>First Vist Fix (Parts)</t>
  </si>
  <si>
    <t>Customer Satisfaction -on resolution</t>
  </si>
  <si>
    <t>NAR GAP (CLV)</t>
  </si>
  <si>
    <t>META Impact (War)</t>
  </si>
  <si>
    <t>Planned CP% Improvement Slowed</t>
  </si>
  <si>
    <t>IGM%</t>
  </si>
  <si>
    <t>NAR and EU Central costs allocation</t>
  </si>
  <si>
    <t>LATAM/META</t>
  </si>
  <si>
    <t>NAR Tariff impact</t>
  </si>
  <si>
    <t>Recoveries GAP</t>
  </si>
  <si>
    <t>Sales GAP</t>
  </si>
  <si>
    <t>First Vist Fix (Parts)%</t>
  </si>
  <si>
    <t>Mixed Reasons</t>
  </si>
  <si>
    <t>Multiple Parts Needed</t>
  </si>
  <si>
    <t>Multiple FSE Required</t>
  </si>
  <si>
    <t>Part not Ordered before FV</t>
  </si>
  <si>
    <t>CP%</t>
  </si>
  <si>
    <t>META Contract Renewal GAP</t>
  </si>
  <si>
    <t>GRC CP drop</t>
  </si>
  <si>
    <t>EOL / EOS Impact</t>
  </si>
  <si>
    <t>Pending delayed renewal (Global)</t>
  </si>
  <si>
    <t xml:space="preserve">Without GRC 57.3% vs 56.5% LY </t>
  </si>
  <si>
    <t>Indirect ( 35% vs 28.1% LY)</t>
  </si>
  <si>
    <t>IGM</t>
  </si>
  <si>
    <t>Wrong Booking (BEN)</t>
  </si>
  <si>
    <t>Reversal in Feb</t>
  </si>
  <si>
    <t>Nikhil</t>
  </si>
  <si>
    <t>Sales</t>
  </si>
  <si>
    <t>CLV Projects delivery timeline Adherance</t>
  </si>
  <si>
    <t>R&amp;D PMO</t>
  </si>
  <si>
    <t>AVO - Q1 2026 ; Zenition Extention - Q3 2026</t>
  </si>
  <si>
    <t>Project adherence (To do ratio)</t>
  </si>
  <si>
    <t>All Projects moved to 2027</t>
  </si>
  <si>
    <t>Alternate sales gap plan to be explored</t>
  </si>
  <si>
    <t>#PM &gt;Runrate</t>
  </si>
  <si>
    <t>Normalise by Q1 (Monitor)</t>
  </si>
  <si>
    <t>CLV Funnel</t>
  </si>
  <si>
    <t>Service RBL</t>
  </si>
  <si>
    <t>Closure on bundling for Pitching CLV proposals</t>
  </si>
  <si>
    <t>Funnel Velocity</t>
  </si>
  <si>
    <t>Sales Reversal</t>
  </si>
  <si>
    <t xml:space="preserve"> BNL team for details and reversal.</t>
  </si>
  <si>
    <t>Rohit</t>
  </si>
  <si>
    <t>No PPV Impact -NEGO Savings (0.3M)</t>
  </si>
  <si>
    <t>No PPV impact from price increase; Positive saving from Nego</t>
  </si>
  <si>
    <t>Nego Savings</t>
  </si>
  <si>
    <t>Need underpinned actions and prjects for this handshake</t>
  </si>
  <si>
    <t>Warranty Claim increase/ Non repairable warranty claim without return process</t>
  </si>
  <si>
    <t>CP</t>
  </si>
  <si>
    <t>Contract renewals, Warranty Conversion</t>
  </si>
  <si>
    <t>Regional funnel management on Renewals and Winrate</t>
  </si>
  <si>
    <t>Continuous</t>
  </si>
  <si>
    <t>POS</t>
  </si>
  <si>
    <t>Low attachment in Growth / NAR</t>
  </si>
  <si>
    <t>Regional RBL support on POS 
NAR Campaign is ongoing
GROWTH Plan in progress</t>
  </si>
  <si>
    <t>RBL -  GROWTH, NAR</t>
  </si>
  <si>
    <t>T&amp;M</t>
  </si>
  <si>
    <t>- T&amp;M Revenue Opportunities</t>
  </si>
  <si>
    <t>Ketan</t>
  </si>
  <si>
    <t>SPS PPV</t>
  </si>
  <si>
    <t>Cost reversal at Qtr End</t>
  </si>
  <si>
    <t>T&amp;M Margin Bleeding</t>
  </si>
  <si>
    <t>Bleeding customer identification and working with regions to fix bleeding</t>
  </si>
  <si>
    <t>First Visit Fix (P)</t>
  </si>
  <si>
    <t>Lack of Remote Diagnostic
Market Awarenes</t>
  </si>
  <si>
    <t>1. Release of PSC10 for Remote Diagnostic
2. Follow-up with Markets</t>
  </si>
  <si>
    <t>Kanad B.</t>
  </si>
  <si>
    <t>Remote Resolution</t>
  </si>
  <si>
    <t xml:space="preserve">PSC10 Release/ RSE Training/ Process Adherance </t>
  </si>
  <si>
    <t>1. Release PSC10 by Aug'26
2. Release RSE Training
3. Market Awareness</t>
  </si>
  <si>
    <t xml:space="preserve"> Kanad B.</t>
  </si>
  <si>
    <t>9/31/2026</t>
  </si>
  <si>
    <t>OPF</t>
  </si>
  <si>
    <t>Set Usage</t>
  </si>
  <si>
    <t xml:space="preserve"> - Kitting of parts for identified pairs</t>
  </si>
  <si>
    <t>Kanad</t>
  </si>
  <si>
    <t>NAR Lower Performance VS AOP (Contract, CLV)</t>
  </si>
  <si>
    <t>; - Winback and CLV campaign ongoing - Leads generated at Zone level (Global)
- NAR FD30x30 quoting in progress (3 Qty); Opportunities identified (EU 100K recognised in EQ)
- Inside Sales HC Approved  - Done
- Weekly gap Closure. Upside calls with regions - Initiated in H2</t>
  </si>
  <si>
    <t>Repair PPV GR/IR Impact</t>
  </si>
  <si>
    <t>Work on reversal (220K) - 80K impact reversed</t>
  </si>
  <si>
    <t>Demo Cost Booking (UKI, NAR)</t>
  </si>
  <si>
    <t>160K Reversal Plan with regions</t>
  </si>
  <si>
    <t>Sales Zero - Cost Booking Impact 550K</t>
  </si>
  <si>
    <t>RCA in Progress. Work on Mitigation</t>
  </si>
  <si>
    <t>Logic from COE still in discussion. Reporting # in Q?</t>
  </si>
  <si>
    <t>-Explore contract renewal as alternate KPI
-WIP for correct reporting logic. To be finalised by baseline definition. Decision to shift to LY vs CY comparision as AOP not HS</t>
  </si>
  <si>
    <t>Cost to serve improvement in Turkey - META</t>
  </si>
  <si>
    <r>
      <t xml:space="preserve"> - Log analysis and improving service delivery for Parts and Labor consumption -</t>
    </r>
    <r>
      <rPr>
        <b/>
        <sz val="9"/>
        <color theme="1"/>
        <rFont val="Aptos Narrow"/>
        <family val="2"/>
        <scheme val="minor"/>
      </rPr>
      <t>NO OUTCOME</t>
    </r>
  </si>
  <si>
    <t>E&amp;O Reversal</t>
  </si>
  <si>
    <t xml:space="preserve"> - E&amp;O impact reversal by adjusting EOD date - 300K impact</t>
  </si>
  <si>
    <t>Warranty Recovery</t>
  </si>
  <si>
    <t xml:space="preserve"> - Warranty Recovery Pending META: 60K
 - Warranty Recovery Pending EU: 70L</t>
  </si>
  <si>
    <t>- META War Situation leading to no Contract renewal</t>
  </si>
  <si>
    <t>- Mitigate from EU through pushing CLV sales</t>
  </si>
  <si>
    <t>- Higher central cost than planned AOP in NAR (0.6M) and EU (0.4M)</t>
  </si>
  <si>
    <t xml:space="preserve"> - Work with regional Finance and BU finance for re-allocation based on operational performance
- Meeting done - need Leadership support</t>
  </si>
  <si>
    <t>Fiel V</t>
  </si>
  <si>
    <t> </t>
  </si>
  <si>
    <t>Commercial Excellence DMB</t>
  </si>
  <si>
    <t>Market Share</t>
  </si>
  <si>
    <t>ITQ Market Share</t>
  </si>
  <si>
    <t>13  w/ GRC/ 14 w/o GRC</t>
  </si>
  <si>
    <t>Order Intake</t>
  </si>
  <si>
    <t>ITM OIT Equipment</t>
  </si>
  <si>
    <t>9,5</t>
  </si>
  <si>
    <t>10,6</t>
  </si>
  <si>
    <t>15,6</t>
  </si>
  <si>
    <t>8,9</t>
  </si>
  <si>
    <t>11,9</t>
  </si>
  <si>
    <t>16,5</t>
  </si>
  <si>
    <t>11,2</t>
  </si>
  <si>
    <t>15,9</t>
  </si>
  <si>
    <t>16,9</t>
  </si>
  <si>
    <t>Win Rate</t>
  </si>
  <si>
    <t>ITM Winrate</t>
  </si>
  <si>
    <t>Funnel with 70%++ probabilty of winning</t>
  </si>
  <si>
    <t>BC with FC Flag + Commit+ Order Booked</t>
  </si>
  <si>
    <t>Demo Utilization</t>
  </si>
  <si>
    <t>How much of our Demo inventory is being used actively.</t>
  </si>
  <si>
    <t xml:space="preserve">Demo Refurb </t>
  </si>
  <si>
    <t>% Of Demo Units Going through Refurb Process per Quarter</t>
  </si>
  <si>
    <t>Demo Win rate</t>
  </si>
  <si>
    <t>ITM Demo Winrate</t>
  </si>
  <si>
    <t># of Demos</t>
  </si>
  <si>
    <t>Number of Demos per Month</t>
  </si>
  <si>
    <t>1M Delta Vs June FC</t>
  </si>
  <si>
    <t>AOP Hs Vs PMA Number</t>
  </si>
  <si>
    <t>CLV Project Delays</t>
  </si>
  <si>
    <t>NA Contract renewal</t>
  </si>
  <si>
    <t>Thailand DX</t>
  </si>
  <si>
    <t>Solutions to
Open issues</t>
  </si>
  <si>
    <t>Sales - 1) 1M gap vs June 2) PMA vs Actual HS AOP different (78.9M vs 77.4M) 3) CLV project delay AVO, Zenition extention</t>
  </si>
  <si>
    <t xml:space="preserve"> - Underpinning Gap
- PMA / DPR reporting</t>
  </si>
  <si>
    <t>- Regional alinments and Handshakes
- Final techpass to be validated as per Handshake AOP</t>
  </si>
  <si>
    <t>- Ketan</t>
  </si>
  <si>
    <t>15/03/2026</t>
  </si>
  <si>
    <t>Maryam C</t>
  </si>
  <si>
    <t>Win Rate X Visibility Rate</t>
  </si>
  <si>
    <t>Financial OIT vs AOP</t>
  </si>
  <si>
    <t>€40</t>
  </si>
  <si>
    <t xml:space="preserve">POS  Attachment Rate </t>
  </si>
  <si>
    <t>PoS Attachement</t>
  </si>
  <si>
    <t>Funnel Coverage</t>
  </si>
  <si>
    <t>Funnel Sufficiency</t>
  </si>
  <si>
    <t>3x Funnel Qualify to OP</t>
  </si>
  <si>
    <t># Of Demos</t>
  </si>
  <si>
    <t>Qtrly Phasing: Q1 20%, Q2 25%, Q3 25%, Q4 30%</t>
  </si>
  <si>
    <t>Demo Winrate</t>
  </si>
  <si>
    <t>Visiblity</t>
  </si>
  <si>
    <t>OIT+Lost+ NP / Market Size</t>
  </si>
  <si>
    <t>IB Winrate (Competition)</t>
  </si>
  <si>
    <t>Competition IB Winrate(Philips Opptys won/ Total Opps )</t>
  </si>
  <si>
    <t>Win Rate (Total)</t>
  </si>
  <si>
    <t>PH OIT / PH OIT+Lost+ NP</t>
  </si>
  <si>
    <t xml:space="preserve">To be updated </t>
  </si>
  <si>
    <t>OPEN HC</t>
  </si>
  <si>
    <t>New Sales Team</t>
  </si>
  <si>
    <t>Lack of 3D</t>
  </si>
  <si>
    <t>Insufficient early-quarter funnel conversion</t>
  </si>
  <si>
    <t>slower progression from Develop → Propose impacting close velocity</t>
  </si>
  <si>
    <t>IB Competitive Win Rate(Total)</t>
  </si>
  <si>
    <t>Competitive intensity</t>
  </si>
  <si>
    <t>IB prioritization</t>
  </si>
  <si>
    <t>Playbook execution</t>
  </si>
  <si>
    <t>Demo planning discipline</t>
  </si>
  <si>
    <t>System Availibility</t>
  </si>
  <si>
    <t>Late opportunity identification</t>
  </si>
  <si>
    <t>Underreporting on competitive losses</t>
  </si>
  <si>
    <t>Funnel review  Rigor for losses</t>
  </si>
  <si>
    <t>Low competitive market coverage</t>
  </si>
  <si>
    <t xml:space="preserve">Expand Coverage </t>
  </si>
  <si>
    <t xml:space="preserve">Mark &amp; BU </t>
  </si>
  <si>
    <t xml:space="preserve">on going </t>
  </si>
  <si>
    <t>C &amp; R</t>
  </si>
  <si>
    <t>Cause 1: Insufficient early-quarter funnel conversion (limited FC-flagged deals entering the month)
Cause 2: New direct sales team ramp in South  — slower progression from Develop → Propose impacting close velocity</t>
  </si>
  <si>
    <t xml:space="preserve">Gap Pans </t>
  </si>
  <si>
    <t xml:space="preserve">Sean Cartee </t>
  </si>
  <si>
    <t>Equipment Funnel Size</t>
  </si>
  <si>
    <t>Inconsistent demo planning discipline</t>
  </si>
  <si>
    <t>Include demo plans in opportunity reviews.</t>
  </si>
  <si>
    <t>DSLs</t>
  </si>
  <si>
    <t>IB Winrate Competition</t>
  </si>
  <si>
    <t>Increased competitive pressure in IB accounts</t>
  </si>
  <si>
    <t>Enhance replacement strategies and competitive intelligence.</t>
  </si>
  <si>
    <t>KAMS</t>
  </si>
  <si>
    <t xml:space="preserve">Low funnel discipline and documentation </t>
  </si>
  <si>
    <t xml:space="preserve">Improve hygiene &amp; document Market </t>
  </si>
  <si>
    <t>Silvia Marini</t>
  </si>
  <si>
    <t>Julia Wahl</t>
  </si>
  <si>
    <t>EUROPE - DMB</t>
  </si>
  <si>
    <t>Market Share %</t>
  </si>
  <si>
    <t>Q4 '26  MAT Market Share %</t>
  </si>
  <si>
    <t>Order Intake EQ</t>
  </si>
  <si>
    <t>2026 FY Order Intake EQ</t>
  </si>
  <si>
    <t>Order Intake CS</t>
  </si>
  <si>
    <t>2026 FY Order Intake CS</t>
  </si>
  <si>
    <t>EQ Funnel Sufficiency</t>
  </si>
  <si>
    <t>Opps in all stages&gt;AOP*3</t>
  </si>
  <si>
    <t>PH IB Visibility</t>
  </si>
  <si>
    <t>Philips  IB Visibility</t>
  </si>
  <si>
    <t>EQ Forecast Sufficiency</t>
  </si>
  <si>
    <t>(orders won+commit+BC Flag)/AOP &gt;60% by WD 10 of month #1, &gt;80% by WD 10 of month #2, &gt;100% by WD 10 of month #3</t>
  </si>
  <si>
    <t>EQ Win-rate</t>
  </si>
  <si>
    <t>Win-rate</t>
  </si>
  <si>
    <t>PoS%</t>
  </si>
  <si>
    <t>CS PoS Attachment Rate</t>
  </si>
  <si>
    <t>EQ + CS IGM%</t>
  </si>
  <si>
    <t>3rd party products</t>
  </si>
  <si>
    <t>lower volume</t>
  </si>
  <si>
    <t>ICoS</t>
  </si>
  <si>
    <t>No</t>
  </si>
  <si>
    <t>Fiel</t>
  </si>
  <si>
    <t>GROWTH - DMB</t>
  </si>
  <si>
    <t>MOM</t>
  </si>
  <si>
    <t>1. Use IGM as evaluation to Deals</t>
  </si>
  <si>
    <t>MAT MS(%)</t>
  </si>
  <si>
    <t>AOP OIT FY</t>
  </si>
  <si>
    <t>Market Visibility</t>
  </si>
  <si>
    <t>MAT Visibility (%)</t>
  </si>
  <si>
    <t>EOL IB Visibility</t>
  </si>
  <si>
    <t>EOL IB Visibility (%)</t>
  </si>
  <si>
    <t xml:space="preserve"> AOP OIT ITM/MAT Win Rate(%)</t>
  </si>
  <si>
    <t>MAT Win Rate (%)</t>
  </si>
  <si>
    <t>OIT YTD for B&amp;B</t>
  </si>
  <si>
    <t>Total OIT YTD  with RDD in FY26</t>
  </si>
  <si>
    <t>PoS Attachment Rate</t>
  </si>
  <si>
    <t>12MR PoS%</t>
  </si>
  <si>
    <t>40% (vs. 51.2% in FY'25)</t>
  </si>
  <si>
    <t xml:space="preserve"> Profitability</t>
  </si>
  <si>
    <t>Integral IGM (%)</t>
  </si>
  <si>
    <t>38.3% FY'26</t>
  </si>
  <si>
    <t>Chetan L</t>
  </si>
  <si>
    <t>Finance DMB</t>
  </si>
  <si>
    <t>EBIT</t>
  </si>
  <si>
    <t>Productivity</t>
  </si>
  <si>
    <t>PS &amp; Q</t>
  </si>
  <si>
    <t>Mandatory outcome KPI's</t>
  </si>
  <si>
    <t>Patient safety</t>
  </si>
  <si>
    <t>Target &amp; actual</t>
  </si>
  <si>
    <t>Quality</t>
  </si>
  <si>
    <t>Audit readiness</t>
  </si>
  <si>
    <t># of ARO's</t>
  </si>
  <si>
    <t># of QN's</t>
  </si>
  <si>
    <t>CAPA Cloures</t>
  </si>
  <si>
    <t>Critical Enabling/Leading KpI's</t>
  </si>
  <si>
    <t>KPI Measurement</t>
  </si>
  <si>
    <t>Baseline 2025</t>
  </si>
  <si>
    <t>March</t>
  </si>
  <si>
    <t>April</t>
  </si>
  <si>
    <t>OIT</t>
  </si>
  <si>
    <t>114M</t>
  </si>
  <si>
    <t>145M</t>
  </si>
  <si>
    <t>Overall Visibility</t>
  </si>
  <si>
    <t>Overall Winrate</t>
  </si>
  <si>
    <t>IB Winrate</t>
  </si>
  <si>
    <t>Philips IB Visibility</t>
  </si>
  <si>
    <t>Trends-show</t>
  </si>
  <si>
    <t>Cause analysis</t>
  </si>
  <si>
    <t>YY analysis</t>
  </si>
  <si>
    <t>pareto</t>
  </si>
  <si>
    <t>Reason of Failure/Defect category</t>
  </si>
  <si>
    <t xml:space="preserve">Label 1 </t>
  </si>
  <si>
    <t xml:space="preserve">Lable 2 </t>
  </si>
  <si>
    <t>Label 3</t>
  </si>
  <si>
    <t xml:space="preserve">Label 4 </t>
  </si>
  <si>
    <t>Label 5</t>
  </si>
  <si>
    <t xml:space="preserve">Gap to target </t>
  </si>
  <si>
    <t>data validation for  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</si>
</sst>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quot;₹&quot;\ * #,##0.00_ ;_ &quot;₹&quot;\ * \-#,##0.00_ ;_ &quot;₹&quot;\ * &quot;-&quot;??_ ;_ @_ "/>
    <numFmt numFmtId="165" formatCode="_ * #,##0.00_ ;_ * \-#,##0.00_ ;_ * &quot;-&quot;??_ ;_ @_ "/>
    <numFmt numFmtId="166" formatCode="mmm/yyyy"/>
    <numFmt numFmtId="167" formatCode="0.0"/>
    <numFmt numFmtId="168" formatCode="0.0%"/>
    <numFmt numFmtId="169" formatCode="0.000"/>
    <numFmt numFmtId="170" formatCode="0.0000"/>
    <numFmt numFmtId="171" formatCode="0.000_);\(0.000\)"/>
  </numFmts>
  <fonts count="59">
    <font>
      <sz val="11"/>
      <color theme="1"/>
      <name val="Aptos Narrow"/>
      <family val="2"/>
      <scheme val="minor"/>
    </font>
    <font>
      <sz val="11"/>
      <color theme="1"/>
      <name val="Aptos Narrow"/>
      <family val="2"/>
      <scheme val="minor"/>
    </font>
    <font>
      <b/>
      <sz val="9"/>
      <color theme="0"/>
      <name val="Aptos Narrow"/>
      <family val="2"/>
      <scheme val="minor"/>
    </font>
    <font>
      <sz val="9"/>
      <color theme="1"/>
      <name val="Aptos Narrow"/>
      <family val="2"/>
      <scheme val="minor"/>
    </font>
    <font>
      <b/>
      <sz val="9"/>
      <color theme="1"/>
      <name val="Aptos Narrow"/>
      <family val="2"/>
      <scheme val="minor"/>
    </font>
    <font>
      <b/>
      <sz val="14"/>
      <color theme="1"/>
      <name val="Aptos Narrow"/>
      <family val="2"/>
      <scheme val="minor"/>
    </font>
    <font>
      <b/>
      <sz val="16"/>
      <color theme="0"/>
      <name val="Aptos Narrow"/>
      <family val="2"/>
      <scheme val="minor"/>
    </font>
    <font>
      <sz val="12"/>
      <name val="Arial"/>
      <family val="2"/>
    </font>
    <font>
      <sz val="10"/>
      <name val="Arial"/>
      <family val="2"/>
    </font>
    <font>
      <b/>
      <sz val="11"/>
      <color theme="1"/>
      <name val="Aptos Narrow"/>
      <family val="2"/>
      <scheme val="minor"/>
    </font>
    <font>
      <b/>
      <sz val="10"/>
      <color theme="1"/>
      <name val="Aptos Narrow"/>
      <family val="2"/>
      <scheme val="minor"/>
    </font>
    <font>
      <b/>
      <sz val="11"/>
      <color theme="0"/>
      <name val="Aptos Narrow"/>
      <family val="2"/>
      <scheme val="minor"/>
    </font>
    <font>
      <sz val="10"/>
      <color theme="1"/>
      <name val="Aptos Narrow"/>
      <family val="2"/>
      <scheme val="minor"/>
    </font>
    <font>
      <b/>
      <sz val="14"/>
      <color theme="0"/>
      <name val="Aptos Narrow"/>
      <family val="2"/>
      <scheme val="minor"/>
    </font>
    <font>
      <b/>
      <i/>
      <sz val="16"/>
      <color theme="0"/>
      <name val="Aptos Narrow"/>
      <family val="2"/>
      <scheme val="minor"/>
    </font>
    <font>
      <sz val="14"/>
      <name val="Aptos Narrow"/>
      <family val="2"/>
      <scheme val="minor"/>
    </font>
    <font>
      <sz val="10"/>
      <color rgb="FF000000"/>
      <name val="Aptos Narrow"/>
      <family val="2"/>
      <scheme val="minor"/>
    </font>
    <font>
      <b/>
      <sz val="9"/>
      <color theme="0"/>
      <name val="Calibri"/>
      <family val="2"/>
      <charset val="1"/>
    </font>
    <font>
      <sz val="10"/>
      <name val="Aptos Narrow"/>
      <family val="2"/>
      <scheme val="minor"/>
    </font>
    <font>
      <sz val="11"/>
      <color theme="0"/>
      <name val="Aptos Narrow"/>
      <family val="2"/>
      <scheme val="minor"/>
    </font>
    <font>
      <b/>
      <sz val="12"/>
      <color theme="0"/>
      <name val="Aptos Narrow"/>
      <family val="2"/>
      <scheme val="minor"/>
    </font>
    <font>
      <sz val="12"/>
      <color indexed="8"/>
      <name val="Arial"/>
      <family val="2"/>
    </font>
    <font>
      <b/>
      <sz val="10"/>
      <name val="Aptos Narrow"/>
      <family val="2"/>
      <scheme val="minor"/>
    </font>
    <font>
      <sz val="11"/>
      <color rgb="FF000000"/>
      <name val="Aptos Narrow"/>
      <family val="2"/>
    </font>
    <font>
      <sz val="10"/>
      <color rgb="FF000000"/>
      <name val="Aptos Narrow"/>
      <family val="2"/>
    </font>
    <font>
      <b/>
      <sz val="10"/>
      <color rgb="FF000000"/>
      <name val="Aptos Narrow"/>
      <family val="2"/>
    </font>
    <font>
      <b/>
      <sz val="9"/>
      <color rgb="FFFFFFFF"/>
      <name val="Aptos Narrow"/>
      <family val="2"/>
    </font>
    <font>
      <b/>
      <sz val="10"/>
      <color rgb="FF000000"/>
      <name val="Aptos Narrow"/>
      <family val="2"/>
      <scheme val="minor"/>
    </font>
    <font>
      <sz val="10"/>
      <color theme="1"/>
      <name val="Aptos Narrow"/>
      <family val="2"/>
    </font>
    <font>
      <sz val="8"/>
      <name val="Aptos Narrow"/>
      <family val="2"/>
      <scheme val="minor"/>
    </font>
    <font>
      <strike/>
      <sz val="10"/>
      <color theme="1"/>
      <name val="Aptos Narrow"/>
      <family val="2"/>
      <scheme val="minor"/>
    </font>
    <font>
      <sz val="9"/>
      <color theme="0"/>
      <name val="Aptos Narrow"/>
      <family val="2"/>
      <scheme val="minor"/>
    </font>
    <font>
      <b/>
      <sz val="11"/>
      <color rgb="FF000000"/>
      <name val="Aptos Narrow"/>
      <family val="2"/>
    </font>
    <font>
      <b/>
      <sz val="16"/>
      <color rgb="FFFFFFFF"/>
      <name val="Aptos Narrow"/>
      <family val="2"/>
    </font>
    <font>
      <b/>
      <sz val="14"/>
      <color rgb="FF000000"/>
      <name val="Aptos Narrow"/>
      <family val="2"/>
    </font>
    <font>
      <b/>
      <sz val="11"/>
      <color rgb="FFFFFFFF"/>
      <name val="Aptos Narrow"/>
      <family val="2"/>
    </font>
    <font>
      <b/>
      <i/>
      <sz val="16"/>
      <color rgb="FFFFFFFF"/>
      <name val="Aptos Narrow"/>
      <family val="2"/>
    </font>
    <font>
      <b/>
      <sz val="14"/>
      <color rgb="FFFFFFFF"/>
      <name val="Aptos Narrow"/>
      <family val="2"/>
    </font>
    <font>
      <sz val="14"/>
      <name val="Aptos Narrow"/>
      <family val="2"/>
    </font>
    <font>
      <sz val="9"/>
      <color indexed="81"/>
      <name val="Tahoma"/>
      <family val="2"/>
    </font>
    <font>
      <b/>
      <sz val="9"/>
      <color indexed="81"/>
      <name val="Tahoma"/>
      <family val="2"/>
    </font>
    <font>
      <sz val="10"/>
      <color theme="0"/>
      <name val="Aptos Narrow"/>
      <family val="2"/>
      <scheme val="minor"/>
    </font>
    <font>
      <sz val="10"/>
      <color rgb="FF363636"/>
      <name val="Calibri"/>
      <family val="2"/>
    </font>
    <font>
      <i/>
      <sz val="10"/>
      <color rgb="FF000000"/>
      <name val="Aptos Narrow"/>
      <family val="2"/>
      <scheme val="minor"/>
    </font>
    <font>
      <sz val="11"/>
      <name val="Aptos Narrow"/>
      <family val="2"/>
      <scheme val="minor"/>
    </font>
    <font>
      <i/>
      <sz val="11"/>
      <color rgb="FFFF0000"/>
      <name val="Aptos Narrow"/>
      <family val="2"/>
      <scheme val="minor"/>
    </font>
    <font>
      <strike/>
      <sz val="10"/>
      <color rgb="FFFF0000"/>
      <name val="Aptos Narrow"/>
      <family val="2"/>
      <scheme val="minor"/>
    </font>
    <font>
      <sz val="10"/>
      <color rgb="FFFF0000"/>
      <name val="Aptos Narrow"/>
      <family val="2"/>
      <scheme val="minor"/>
    </font>
    <font>
      <sz val="11"/>
      <color rgb="FF000000"/>
      <name val="Calibri"/>
    </font>
    <font>
      <strike/>
      <sz val="10"/>
      <name val="Aptos Narrow"/>
      <family val="2"/>
      <scheme val="minor"/>
    </font>
    <font>
      <b/>
      <sz val="9"/>
      <color indexed="81"/>
      <name val="Tahoma"/>
      <charset val="1"/>
    </font>
    <font>
      <sz val="9"/>
      <color indexed="81"/>
      <name val="Tahoma"/>
      <charset val="1"/>
    </font>
    <font>
      <sz val="8"/>
      <color theme="1"/>
      <name val="Aptos Narrow"/>
      <family val="2"/>
      <scheme val="minor"/>
    </font>
    <font>
      <strike/>
      <sz val="8"/>
      <color theme="1"/>
      <name val="Aptos Narrow"/>
      <family val="2"/>
      <scheme val="minor"/>
    </font>
    <font>
      <sz val="12"/>
      <color theme="1"/>
      <name val="Aptos Narrow"/>
      <family val="2"/>
      <scheme val="minor"/>
    </font>
    <font>
      <b/>
      <sz val="8"/>
      <color theme="1"/>
      <name val="Aptos Narrow"/>
      <family val="2"/>
      <scheme val="minor"/>
    </font>
    <font>
      <strike/>
      <sz val="10"/>
      <color rgb="FF000000"/>
      <name val="Aptos Narrow"/>
      <scheme val="minor"/>
    </font>
    <font>
      <sz val="10"/>
      <color rgb="FF000000"/>
      <name val="Aptos Narrow"/>
      <scheme val="minor"/>
    </font>
    <font>
      <strike/>
      <sz val="10"/>
      <color rgb="FF000000"/>
      <name val="Aptos Narrow"/>
      <family val="2"/>
      <scheme val="minor"/>
    </font>
  </fonts>
  <fills count="38">
    <fill>
      <patternFill patternType="none"/>
    </fill>
    <fill>
      <patternFill patternType="gray125"/>
    </fill>
    <fill>
      <patternFill patternType="solid">
        <fgColor rgb="FF4BACC6"/>
        <bgColor theme="7"/>
      </patternFill>
    </fill>
    <fill>
      <patternFill patternType="solid">
        <fgColor rgb="FFDEE7F2"/>
        <bgColor indexed="64"/>
      </patternFill>
    </fill>
    <fill>
      <patternFill patternType="solid">
        <fgColor rgb="FF1F497D"/>
        <bgColor indexed="64"/>
      </patternFill>
    </fill>
    <fill>
      <patternFill patternType="solid">
        <fgColor theme="0"/>
        <bgColor indexed="64"/>
      </patternFill>
    </fill>
    <fill>
      <patternFill patternType="solid">
        <fgColor theme="4"/>
        <bgColor indexed="64"/>
      </patternFill>
    </fill>
    <fill>
      <patternFill patternType="solid">
        <fgColor rgb="FFFF0000"/>
        <bgColor indexed="64"/>
      </patternFill>
    </fill>
    <fill>
      <patternFill patternType="solid">
        <fgColor rgb="FF4BACC6"/>
        <bgColor indexed="64"/>
      </patternFill>
    </fill>
    <fill>
      <patternFill patternType="solid">
        <fgColor rgb="FFFF3B3B"/>
        <bgColor indexed="64"/>
      </patternFill>
    </fill>
    <fill>
      <patternFill patternType="solid">
        <fgColor rgb="FF4BACC6"/>
        <bgColor rgb="FF000000"/>
      </patternFill>
    </fill>
    <fill>
      <patternFill patternType="solid">
        <fgColor rgb="FFFDEDDF"/>
        <bgColor indexed="64"/>
      </patternFill>
    </fill>
    <fill>
      <patternFill patternType="solid">
        <fgColor theme="3" tint="0.499984740745262"/>
        <bgColor indexed="64"/>
      </patternFill>
    </fill>
    <fill>
      <patternFill patternType="solid">
        <fgColor rgb="FFFFF2CC"/>
        <bgColor indexed="64"/>
      </patternFill>
    </fill>
    <fill>
      <patternFill patternType="solid">
        <fgColor theme="3" tint="0.89999084444715716"/>
        <bgColor indexed="64"/>
      </patternFill>
    </fill>
    <fill>
      <patternFill patternType="solid">
        <fgColor indexed="42"/>
      </patternFill>
    </fill>
    <fill>
      <patternFill patternType="solid">
        <fgColor rgb="FF156082"/>
        <bgColor rgb="FF000000"/>
      </patternFill>
    </fill>
    <fill>
      <patternFill patternType="solid">
        <fgColor rgb="FFFFFFFF"/>
        <bgColor rgb="FF000000"/>
      </patternFill>
    </fill>
    <fill>
      <patternFill patternType="solid">
        <fgColor rgb="FFDEE7F2"/>
        <bgColor rgb="FF000000"/>
      </patternFill>
    </fill>
    <fill>
      <patternFill patternType="solid">
        <fgColor rgb="FF1F497D"/>
        <bgColor rgb="FF000000"/>
      </patternFill>
    </fill>
    <fill>
      <patternFill patternType="solid">
        <fgColor rgb="FFFFFF00"/>
        <bgColor indexed="64"/>
      </patternFill>
    </fill>
    <fill>
      <patternFill patternType="solid">
        <fgColor theme="3" tint="0.749992370372631"/>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ACFA8"/>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rgb="FF4BACC6"/>
        <bgColor rgb="FF0F9ED5"/>
      </patternFill>
    </fill>
    <fill>
      <patternFill patternType="solid">
        <fgColor rgb="FFFDEDDF"/>
        <bgColor rgb="FF000000"/>
      </patternFill>
    </fill>
    <fill>
      <patternFill patternType="solid">
        <fgColor rgb="FFFF3B3B"/>
        <bgColor rgb="FF000000"/>
      </patternFill>
    </fill>
    <fill>
      <patternFill patternType="solid">
        <fgColor rgb="FFFF0000"/>
        <bgColor rgb="FF000000"/>
      </patternFill>
    </fill>
    <fill>
      <patternFill patternType="solid">
        <fgColor rgb="FF4EA72E"/>
        <bgColor rgb="FF000000"/>
      </patternFill>
    </fill>
    <fill>
      <patternFill patternType="solid">
        <fgColor theme="9" tint="0.79998168889431442"/>
        <bgColor indexed="64"/>
      </patternFill>
    </fill>
    <fill>
      <patternFill patternType="solid">
        <fgColor theme="4"/>
        <bgColor theme="4"/>
      </patternFill>
    </fill>
    <fill>
      <patternFill patternType="solid">
        <fgColor rgb="FFFFD13F"/>
        <bgColor indexed="64"/>
      </patternFill>
    </fill>
    <fill>
      <patternFill patternType="solid">
        <fgColor theme="5" tint="0.59999389629810485"/>
        <bgColor indexed="64"/>
      </patternFill>
    </fill>
    <fill>
      <patternFill patternType="solid">
        <fgColor rgb="FFFFC000"/>
        <bgColor indexed="64"/>
      </patternFill>
    </fill>
    <fill>
      <patternFill patternType="solid">
        <fgColor rgb="FF006600"/>
        <bgColor indexed="64"/>
      </patternFill>
    </fill>
  </fills>
  <borders count="7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2060"/>
      </left>
      <right/>
      <top style="thin">
        <color rgb="FF002060"/>
      </top>
      <bottom/>
      <diagonal/>
    </border>
    <border>
      <left style="thin">
        <color rgb="FF002060"/>
      </left>
      <right/>
      <top/>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style="medium">
        <color indexed="64"/>
      </right>
      <top/>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style="thin">
        <color rgb="FF000000"/>
      </left>
      <right style="thin">
        <color rgb="FF000000"/>
      </right>
      <top style="thin">
        <color rgb="FF000000"/>
      </top>
      <bottom style="thin">
        <color rgb="FF000000"/>
      </bottom>
      <diagonal/>
    </border>
    <border>
      <left/>
      <right/>
      <top/>
      <bottom style="medium">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rgb="FF000000"/>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right/>
      <top style="thin">
        <color indexed="64"/>
      </top>
      <bottom style="thin">
        <color indexed="64"/>
      </bottom>
      <diagonal/>
    </border>
    <border>
      <left/>
      <right style="medium">
        <color rgb="FF000000"/>
      </right>
      <top style="medium">
        <color indexed="64"/>
      </top>
      <bottom style="medium">
        <color indexed="64"/>
      </bottom>
      <diagonal/>
    </border>
    <border>
      <left/>
      <right style="medium">
        <color indexed="64"/>
      </right>
      <top/>
      <bottom style="thin">
        <color indexed="64"/>
      </bottom>
      <diagonal/>
    </border>
    <border>
      <left style="medium">
        <color indexed="64"/>
      </left>
      <right style="thin">
        <color indexed="64"/>
      </right>
      <top/>
      <bottom style="thin">
        <color rgb="FF000000"/>
      </bottom>
      <diagonal/>
    </border>
    <border>
      <left style="thin">
        <color indexed="64"/>
      </left>
      <right style="medium">
        <color indexed="64"/>
      </right>
      <top/>
      <bottom style="thin">
        <color rgb="FF000000"/>
      </bottom>
      <diagonal/>
    </border>
    <border>
      <left/>
      <right style="thin">
        <color rgb="FF000000"/>
      </right>
      <top style="medium">
        <color indexed="64"/>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medium">
        <color indexed="64"/>
      </right>
      <top style="thin">
        <color indexed="64"/>
      </top>
      <bottom/>
      <diagonal/>
    </border>
  </borders>
  <cellStyleXfs count="11">
    <xf numFmtId="0" fontId="0" fillId="0" borderId="0"/>
    <xf numFmtId="9" fontId="1" fillId="0" borderId="0" applyFont="0" applyFill="0" applyBorder="0" applyAlignment="0" applyProtection="0"/>
    <xf numFmtId="0" fontId="7" fillId="0" borderId="0"/>
    <xf numFmtId="0" fontId="8" fillId="0" borderId="0"/>
    <xf numFmtId="0" fontId="21" fillId="15" borderId="0" applyNumberFormat="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4" fontId="1" fillId="0" borderId="0" applyFont="0" applyFill="0" applyBorder="0" applyAlignment="0" applyProtection="0"/>
  </cellStyleXfs>
  <cellXfs count="634">
    <xf numFmtId="0" fontId="0" fillId="0" borderId="0" xfId="0"/>
    <xf numFmtId="0" fontId="2" fillId="2" borderId="1"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9" fontId="2" fillId="4" borderId="3" xfId="1" applyFont="1" applyFill="1" applyBorder="1" applyAlignment="1">
      <alignment horizontal="center" vertical="center"/>
    </xf>
    <xf numFmtId="9" fontId="4" fillId="0" borderId="1" xfId="1" applyFont="1" applyBorder="1" applyAlignment="1">
      <alignment horizontal="center" vertical="center"/>
    </xf>
    <xf numFmtId="2" fontId="2" fillId="4" borderId="3" xfId="0" applyNumberFormat="1" applyFont="1" applyFill="1" applyBorder="1" applyAlignment="1">
      <alignment horizontal="center" vertical="center"/>
    </xf>
    <xf numFmtId="2" fontId="4" fillId="0" borderId="1" xfId="0" applyNumberFormat="1" applyFont="1" applyBorder="1" applyAlignment="1">
      <alignment horizontal="center" vertical="center"/>
    </xf>
    <xf numFmtId="0" fontId="3" fillId="3" borderId="2" xfId="0" applyFont="1" applyFill="1" applyBorder="1" applyAlignment="1">
      <alignment horizontal="left" wrapText="1"/>
    </xf>
    <xf numFmtId="0" fontId="3" fillId="0" borderId="1" xfId="0" applyFont="1" applyBorder="1"/>
    <xf numFmtId="0" fontId="6" fillId="6" borderId="0" xfId="0" applyFont="1" applyFill="1"/>
    <xf numFmtId="0" fontId="5" fillId="0" borderId="0" xfId="0" applyFont="1"/>
    <xf numFmtId="0" fontId="9" fillId="0" borderId="1" xfId="0" applyFont="1" applyBorder="1"/>
    <xf numFmtId="0" fontId="9" fillId="0" borderId="0" xfId="0" applyFont="1"/>
    <xf numFmtId="0" fontId="10" fillId="3" borderId="1" xfId="0" applyFont="1" applyFill="1" applyBorder="1" applyAlignment="1">
      <alignment horizontal="center" vertical="center" wrapText="1"/>
    </xf>
    <xf numFmtId="0" fontId="12" fillId="0" borderId="0" xfId="0" applyFont="1" applyAlignment="1">
      <alignment horizontal="center" vertical="center"/>
    </xf>
    <xf numFmtId="0" fontId="11" fillId="8" borderId="14" xfId="0" applyFont="1" applyFill="1" applyBorder="1" applyAlignment="1">
      <alignment horizontal="center" vertical="center"/>
    </xf>
    <xf numFmtId="0" fontId="11" fillId="8" borderId="3" xfId="0" applyFont="1" applyFill="1" applyBorder="1" applyAlignment="1">
      <alignment horizontal="center" vertical="center"/>
    </xf>
    <xf numFmtId="0" fontId="11" fillId="8" borderId="10" xfId="0" applyFont="1" applyFill="1" applyBorder="1" applyAlignment="1">
      <alignment horizontal="center" vertical="center" wrapText="1"/>
    </xf>
    <xf numFmtId="0" fontId="11" fillId="8" borderId="11" xfId="0" applyFont="1" applyFill="1" applyBorder="1" applyAlignment="1">
      <alignment horizontal="center" vertical="center"/>
    </xf>
    <xf numFmtId="0" fontId="11" fillId="8" borderId="15" xfId="0" applyFont="1" applyFill="1" applyBorder="1" applyAlignment="1">
      <alignment horizontal="center" vertical="center"/>
    </xf>
    <xf numFmtId="0" fontId="11" fillId="10" borderId="18" xfId="0" applyFont="1" applyFill="1" applyBorder="1" applyAlignment="1">
      <alignment horizontal="center" vertical="center"/>
    </xf>
    <xf numFmtId="0" fontId="11" fillId="10" borderId="8" xfId="0" applyFont="1" applyFill="1" applyBorder="1" applyAlignment="1">
      <alignment horizontal="center" vertical="center"/>
    </xf>
    <xf numFmtId="0" fontId="11" fillId="10" borderId="8" xfId="0" applyFont="1" applyFill="1" applyBorder="1" applyAlignment="1">
      <alignment horizontal="center" vertical="center" wrapText="1"/>
    </xf>
    <xf numFmtId="0" fontId="11" fillId="10" borderId="9" xfId="0" applyFont="1" applyFill="1" applyBorder="1" applyAlignment="1">
      <alignment horizontal="center" vertical="center" wrapText="1"/>
    </xf>
    <xf numFmtId="0" fontId="11" fillId="8" borderId="1" xfId="2" applyFont="1" applyFill="1" applyBorder="1" applyAlignment="1">
      <alignment horizontal="center" vertical="center"/>
    </xf>
    <xf numFmtId="0" fontId="11" fillId="2" borderId="1" xfId="0" applyFont="1" applyFill="1" applyBorder="1" applyAlignment="1">
      <alignment horizontal="center" vertical="center" wrapText="1"/>
    </xf>
    <xf numFmtId="0" fontId="12" fillId="5" borderId="4" xfId="0" applyFont="1" applyFill="1" applyBorder="1" applyAlignment="1">
      <alignment horizontal="center"/>
    </xf>
    <xf numFmtId="0" fontId="0" fillId="0" borderId="0" xfId="0" applyAlignment="1">
      <alignment horizontal="center"/>
    </xf>
    <xf numFmtId="166" fontId="11" fillId="2" borderId="1" xfId="0" applyNumberFormat="1" applyFont="1" applyFill="1" applyBorder="1" applyAlignment="1">
      <alignment horizontal="center" vertical="center" wrapText="1"/>
    </xf>
    <xf numFmtId="166" fontId="9" fillId="0" borderId="1" xfId="0" applyNumberFormat="1" applyFont="1" applyBorder="1" applyAlignment="1">
      <alignment horizontal="left"/>
    </xf>
    <xf numFmtId="0" fontId="5" fillId="0" borderId="7" xfId="0" applyFont="1" applyBorder="1"/>
    <xf numFmtId="0" fontId="0" fillId="0" borderId="0" xfId="0" applyAlignment="1">
      <alignment horizontal="center" wrapText="1"/>
    </xf>
    <xf numFmtId="0" fontId="0" fillId="0" borderId="0" xfId="0" applyAlignment="1">
      <alignment wrapText="1"/>
    </xf>
    <xf numFmtId="0" fontId="0" fillId="0" borderId="11" xfId="0" applyBorder="1" applyAlignment="1">
      <alignment horizontal="center"/>
    </xf>
    <xf numFmtId="0" fontId="0" fillId="0" borderId="7" xfId="0" applyBorder="1" applyAlignment="1">
      <alignment horizontal="center"/>
    </xf>
    <xf numFmtId="0" fontId="11" fillId="10" borderId="15" xfId="0" applyFont="1" applyFill="1" applyBorder="1" applyAlignment="1">
      <alignment horizontal="center" vertical="center" wrapText="1"/>
    </xf>
    <xf numFmtId="166" fontId="9" fillId="0" borderId="0" xfId="0" applyNumberFormat="1" applyFont="1" applyAlignment="1">
      <alignment horizontal="left"/>
    </xf>
    <xf numFmtId="0" fontId="0" fillId="5" borderId="0" xfId="0" applyFill="1"/>
    <xf numFmtId="0" fontId="0" fillId="0" borderId="1" xfId="0" applyBorder="1"/>
    <xf numFmtId="0" fontId="12" fillId="5" borderId="4" xfId="0" applyFont="1" applyFill="1" applyBorder="1" applyAlignment="1">
      <alignment horizontal="center" wrapText="1"/>
    </xf>
    <xf numFmtId="0" fontId="12" fillId="5" borderId="1" xfId="0" applyFont="1" applyFill="1" applyBorder="1" applyAlignment="1">
      <alignment horizontal="center"/>
    </xf>
    <xf numFmtId="9" fontId="12" fillId="5" borderId="1" xfId="0" applyNumberFormat="1" applyFont="1" applyFill="1" applyBorder="1" applyAlignment="1">
      <alignment horizontal="center"/>
    </xf>
    <xf numFmtId="1" fontId="0" fillId="0" borderId="0" xfId="0" applyNumberFormat="1"/>
    <xf numFmtId="0" fontId="2" fillId="4" borderId="3" xfId="1" applyNumberFormat="1" applyFont="1" applyFill="1" applyBorder="1" applyAlignment="1">
      <alignment horizontal="center" vertical="center"/>
    </xf>
    <xf numFmtId="0" fontId="4" fillId="0" borderId="1" xfId="1" applyNumberFormat="1" applyFont="1" applyBorder="1" applyAlignment="1">
      <alignment horizontal="center" vertical="center"/>
    </xf>
    <xf numFmtId="0" fontId="12" fillId="5" borderId="2" xfId="0" applyFont="1" applyFill="1" applyBorder="1" applyAlignment="1">
      <alignment horizontal="center" vertical="center"/>
    </xf>
    <xf numFmtId="1" fontId="2" fillId="4" borderId="3" xfId="1" applyNumberFormat="1" applyFont="1" applyFill="1" applyBorder="1" applyAlignment="1">
      <alignment horizontal="center" vertical="center"/>
    </xf>
    <xf numFmtId="167" fontId="2" fillId="4" borderId="3" xfId="1" applyNumberFormat="1" applyFont="1" applyFill="1" applyBorder="1" applyAlignment="1">
      <alignment horizontal="center" vertical="center"/>
    </xf>
    <xf numFmtId="0" fontId="12" fillId="5" borderId="8" xfId="0" applyFont="1" applyFill="1" applyBorder="1" applyAlignment="1">
      <alignment horizontal="center" vertical="center"/>
    </xf>
    <xf numFmtId="0" fontId="17" fillId="4" borderId="25" xfId="0" applyFont="1" applyFill="1" applyBorder="1" applyAlignment="1">
      <alignment horizontal="center"/>
    </xf>
    <xf numFmtId="10" fontId="2" fillId="4" borderId="3" xfId="1" applyNumberFormat="1" applyFont="1" applyFill="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1" xfId="0" applyBorder="1" applyAlignment="1">
      <alignment horizontal="center" vertical="center"/>
    </xf>
    <xf numFmtId="9" fontId="19" fillId="6" borderId="1" xfId="0" applyNumberFormat="1" applyFont="1" applyFill="1" applyBorder="1" applyAlignment="1">
      <alignment horizontal="center" vertical="center"/>
    </xf>
    <xf numFmtId="9" fontId="0" fillId="5" borderId="1" xfId="0" applyNumberFormat="1" applyFill="1" applyBorder="1" applyAlignment="1">
      <alignment horizontal="center" vertical="center"/>
    </xf>
    <xf numFmtId="10" fontId="0" fillId="13" borderId="1" xfId="1" applyNumberFormat="1" applyFont="1" applyFill="1" applyBorder="1" applyAlignment="1">
      <alignment horizontal="center" vertical="center"/>
    </xf>
    <xf numFmtId="10" fontId="0" fillId="13" borderId="1" xfId="1" applyNumberFormat="1" applyFont="1" applyFill="1" applyBorder="1" applyAlignment="1">
      <alignment vertical="center"/>
    </xf>
    <xf numFmtId="0" fontId="0" fillId="0" borderId="40" xfId="0" applyBorder="1" applyAlignment="1">
      <alignment horizontal="center" vertical="center"/>
    </xf>
    <xf numFmtId="10" fontId="0" fillId="0" borderId="40" xfId="1" applyNumberFormat="1" applyFont="1" applyBorder="1" applyAlignment="1">
      <alignment horizontal="center" vertical="center"/>
    </xf>
    <xf numFmtId="10" fontId="0" fillId="0" borderId="40" xfId="0" applyNumberFormat="1" applyBorder="1" applyAlignment="1">
      <alignment horizontal="center" vertical="center"/>
    </xf>
    <xf numFmtId="10" fontId="0" fillId="0" borderId="40" xfId="0" applyNumberFormat="1" applyBorder="1" applyAlignment="1">
      <alignment vertical="center"/>
    </xf>
    <xf numFmtId="0" fontId="0" fillId="5" borderId="1" xfId="0" applyFill="1" applyBorder="1" applyAlignment="1">
      <alignment horizontal="center" vertical="center"/>
    </xf>
    <xf numFmtId="0" fontId="19" fillId="6" borderId="1" xfId="0" applyFont="1" applyFill="1" applyBorder="1" applyAlignment="1">
      <alignment horizontal="center" vertical="center"/>
    </xf>
    <xf numFmtId="0" fontId="19" fillId="6" borderId="34" xfId="0" applyFont="1" applyFill="1" applyBorder="1" applyAlignment="1">
      <alignment horizontal="center" vertical="center"/>
    </xf>
    <xf numFmtId="0" fontId="19" fillId="6" borderId="34" xfId="0" applyFont="1" applyFill="1" applyBorder="1" applyAlignment="1">
      <alignment vertical="center"/>
    </xf>
    <xf numFmtId="10" fontId="4" fillId="0" borderId="1" xfId="1" applyNumberFormat="1" applyFont="1" applyBorder="1" applyAlignment="1">
      <alignment horizontal="center" vertical="center"/>
    </xf>
    <xf numFmtId="0" fontId="0" fillId="0" borderId="39" xfId="0" applyBorder="1" applyAlignment="1">
      <alignment vertical="center"/>
    </xf>
    <xf numFmtId="0" fontId="0" fillId="0" borderId="27" xfId="0" applyBorder="1" applyAlignment="1">
      <alignment vertical="center"/>
    </xf>
    <xf numFmtId="0" fontId="0" fillId="0" borderId="38" xfId="0" applyBorder="1" applyAlignment="1">
      <alignment vertical="center"/>
    </xf>
    <xf numFmtId="0" fontId="0" fillId="0" borderId="39" xfId="0" applyBorder="1" applyAlignment="1">
      <alignment horizontal="center" vertical="center"/>
    </xf>
    <xf numFmtId="0" fontId="0" fillId="13" borderId="1" xfId="0" applyFill="1" applyBorder="1" applyAlignment="1">
      <alignment vertical="center"/>
    </xf>
    <xf numFmtId="0" fontId="0" fillId="13" borderId="40" xfId="0" applyFill="1" applyBorder="1" applyAlignment="1">
      <alignment vertical="center"/>
    </xf>
    <xf numFmtId="10" fontId="19" fillId="6" borderId="1" xfId="0" applyNumberFormat="1" applyFont="1" applyFill="1" applyBorder="1" applyAlignment="1">
      <alignment horizontal="center" vertical="center"/>
    </xf>
    <xf numFmtId="10" fontId="0" fillId="5" borderId="1" xfId="0" applyNumberFormat="1" applyFill="1" applyBorder="1" applyAlignment="1">
      <alignment horizontal="center" vertical="center"/>
    </xf>
    <xf numFmtId="0" fontId="0" fillId="0" borderId="3" xfId="0" applyBorder="1" applyAlignment="1">
      <alignment horizontal="center" vertical="center"/>
    </xf>
    <xf numFmtId="0" fontId="0" fillId="0" borderId="43" xfId="0" applyBorder="1" applyAlignment="1">
      <alignment vertical="center"/>
    </xf>
    <xf numFmtId="0" fontId="0" fillId="0" borderId="8" xfId="0" applyBorder="1" applyAlignment="1">
      <alignment vertical="center"/>
    </xf>
    <xf numFmtId="0" fontId="0" fillId="0" borderId="8" xfId="0" applyBorder="1" applyAlignment="1">
      <alignment horizontal="center" vertical="center"/>
    </xf>
    <xf numFmtId="10" fontId="0" fillId="0" borderId="3" xfId="1" applyNumberFormat="1" applyFont="1" applyBorder="1" applyAlignment="1">
      <alignment horizontal="center" vertical="center"/>
    </xf>
    <xf numFmtId="0" fontId="19" fillId="6" borderId="4" xfId="0" applyFont="1" applyFill="1" applyBorder="1" applyAlignment="1">
      <alignment horizontal="center" vertical="center"/>
    </xf>
    <xf numFmtId="0" fontId="0" fillId="5" borderId="4" xfId="0" applyFill="1" applyBorder="1" applyAlignment="1">
      <alignment horizontal="center" vertical="center"/>
    </xf>
    <xf numFmtId="9" fontId="19" fillId="6" borderId="4" xfId="0" applyNumberFormat="1" applyFont="1" applyFill="1" applyBorder="1" applyAlignment="1">
      <alignment horizontal="center" vertical="center"/>
    </xf>
    <xf numFmtId="9" fontId="0" fillId="5" borderId="4" xfId="0" applyNumberFormat="1" applyFill="1" applyBorder="1" applyAlignment="1">
      <alignment horizontal="center" vertical="center"/>
    </xf>
    <xf numFmtId="10" fontId="19" fillId="6" borderId="4" xfId="0" applyNumberFormat="1" applyFont="1" applyFill="1" applyBorder="1" applyAlignment="1">
      <alignment horizontal="center" vertical="center"/>
    </xf>
    <xf numFmtId="10" fontId="0" fillId="5" borderId="4" xfId="0" applyNumberFormat="1" applyFill="1" applyBorder="1" applyAlignment="1">
      <alignment horizontal="center" vertical="center"/>
    </xf>
    <xf numFmtId="0" fontId="19" fillId="6" borderId="22" xfId="0" applyFont="1" applyFill="1" applyBorder="1" applyAlignment="1">
      <alignment vertical="center"/>
    </xf>
    <xf numFmtId="167" fontId="0" fillId="0" borderId="0" xfId="0" applyNumberFormat="1"/>
    <xf numFmtId="0" fontId="23" fillId="0" borderId="0" xfId="0" applyFont="1"/>
    <xf numFmtId="0" fontId="0" fillId="20" borderId="0" xfId="0" applyFill="1"/>
    <xf numFmtId="9" fontId="26" fillId="19" borderId="10" xfId="0" applyNumberFormat="1" applyFont="1" applyFill="1" applyBorder="1" applyAlignment="1">
      <alignment horizontal="center"/>
    </xf>
    <xf numFmtId="9" fontId="4" fillId="0" borderId="3" xfId="1" applyFont="1" applyBorder="1" applyAlignment="1">
      <alignment horizontal="center" vertical="center"/>
    </xf>
    <xf numFmtId="0" fontId="9" fillId="0" borderId="1" xfId="0" applyFont="1" applyBorder="1" applyAlignment="1">
      <alignment vertical="center"/>
    </xf>
    <xf numFmtId="166" fontId="9" fillId="0" borderId="1" xfId="0" applyNumberFormat="1" applyFont="1" applyBorder="1" applyAlignment="1">
      <alignment horizontal="left" vertical="center"/>
    </xf>
    <xf numFmtId="0" fontId="9" fillId="0" borderId="1" xfId="0" applyFont="1" applyBorder="1" applyAlignment="1">
      <alignment horizontal="center" vertical="center"/>
    </xf>
    <xf numFmtId="0" fontId="9" fillId="0" borderId="0" xfId="0" applyFont="1" applyAlignment="1">
      <alignment vertical="center"/>
    </xf>
    <xf numFmtId="166" fontId="9" fillId="0" borderId="0" xfId="0" applyNumberFormat="1" applyFont="1" applyAlignment="1">
      <alignment horizontal="left" vertical="center"/>
    </xf>
    <xf numFmtId="0" fontId="5" fillId="0" borderId="0" xfId="0" applyFont="1" applyAlignment="1">
      <alignment vertical="center"/>
    </xf>
    <xf numFmtId="0" fontId="5" fillId="0" borderId="7" xfId="0" applyFont="1" applyBorder="1" applyAlignment="1">
      <alignment vertical="center"/>
    </xf>
    <xf numFmtId="0" fontId="0" fillId="5" borderId="0" xfId="0" applyFill="1" applyAlignment="1">
      <alignment vertical="center"/>
    </xf>
    <xf numFmtId="1" fontId="0" fillId="0" borderId="0" xfId="0" applyNumberFormat="1" applyAlignment="1">
      <alignment vertical="center"/>
    </xf>
    <xf numFmtId="0" fontId="0" fillId="0" borderId="0" xfId="0" applyAlignment="1">
      <alignment horizontal="center" vertical="center" wrapText="1"/>
    </xf>
    <xf numFmtId="0" fontId="0" fillId="0" borderId="0" xfId="0" applyAlignment="1">
      <alignment vertical="center" wrapText="1"/>
    </xf>
    <xf numFmtId="0" fontId="6" fillId="6" borderId="0" xfId="0" applyFont="1" applyFill="1" applyAlignment="1">
      <alignment vertical="center"/>
    </xf>
    <xf numFmtId="0" fontId="12" fillId="5" borderId="4" xfId="0" applyFont="1" applyFill="1" applyBorder="1" applyAlignment="1">
      <alignment horizontal="center" vertical="center" wrapText="1"/>
    </xf>
    <xf numFmtId="9" fontId="12" fillId="5" borderId="1" xfId="0" applyNumberFormat="1" applyFont="1" applyFill="1" applyBorder="1" applyAlignment="1">
      <alignment horizontal="center" vertical="center"/>
    </xf>
    <xf numFmtId="0" fontId="15" fillId="5" borderId="13" xfId="0" applyFont="1" applyFill="1" applyBorder="1" applyAlignment="1">
      <alignment horizontal="center" vertical="center"/>
    </xf>
    <xf numFmtId="0" fontId="15" fillId="5" borderId="15" xfId="0" applyFont="1" applyFill="1" applyBorder="1" applyAlignment="1">
      <alignment horizontal="center" vertical="center"/>
    </xf>
    <xf numFmtId="0" fontId="0" fillId="0" borderId="1" xfId="0" applyBorder="1" applyAlignment="1">
      <alignment horizontal="left" vertical="center"/>
    </xf>
    <xf numFmtId="0" fontId="11" fillId="2" borderId="1" xfId="0" applyFont="1" applyFill="1" applyBorder="1" applyAlignment="1">
      <alignment vertical="center" wrapText="1"/>
    </xf>
    <xf numFmtId="0" fontId="25" fillId="18" borderId="43" xfId="0" applyFont="1" applyFill="1" applyBorder="1" applyAlignment="1">
      <alignment horizontal="center" wrapText="1"/>
    </xf>
    <xf numFmtId="0" fontId="25" fillId="18" borderId="1" xfId="0" applyFont="1" applyFill="1" applyBorder="1" applyAlignment="1">
      <alignment horizontal="center" wrapText="1"/>
    </xf>
    <xf numFmtId="0" fontId="0" fillId="0" borderId="47" xfId="0" applyBorder="1"/>
    <xf numFmtId="0" fontId="0" fillId="0" borderId="49" xfId="0" applyBorder="1"/>
    <xf numFmtId="0" fontId="0" fillId="0" borderId="50" xfId="0" applyBorder="1"/>
    <xf numFmtId="0" fontId="0" fillId="0" borderId="46" xfId="0" applyBorder="1" applyAlignment="1">
      <alignment horizontal="left" vertical="center" wrapText="1"/>
    </xf>
    <xf numFmtId="0" fontId="0" fillId="0" borderId="49" xfId="0" applyBorder="1" applyAlignment="1">
      <alignment horizontal="left" vertical="center"/>
    </xf>
    <xf numFmtId="9" fontId="4" fillId="0" borderId="27" xfId="1" applyFont="1" applyBorder="1" applyAlignment="1">
      <alignment horizontal="center" vertical="center"/>
    </xf>
    <xf numFmtId="0" fontId="19" fillId="6" borderId="3" xfId="0" applyFont="1" applyFill="1" applyBorder="1" applyAlignment="1">
      <alignment horizontal="center" vertical="center"/>
    </xf>
    <xf numFmtId="0" fontId="19" fillId="6" borderId="11" xfId="0" applyFont="1" applyFill="1" applyBorder="1" applyAlignment="1">
      <alignment horizontal="center" vertical="center"/>
    </xf>
    <xf numFmtId="0" fontId="9" fillId="0" borderId="4" xfId="0" applyFont="1" applyBorder="1"/>
    <xf numFmtId="9" fontId="2" fillId="22" borderId="3" xfId="1" applyFont="1" applyFill="1" applyBorder="1" applyAlignment="1">
      <alignment horizontal="center" vertical="center"/>
    </xf>
    <xf numFmtId="9" fontId="4" fillId="22" borderId="3" xfId="1" applyFont="1" applyFill="1" applyBorder="1" applyAlignment="1">
      <alignment horizontal="center" vertical="center"/>
    </xf>
    <xf numFmtId="169" fontId="4" fillId="0" borderId="1" xfId="1" applyNumberFormat="1" applyFont="1" applyBorder="1" applyAlignment="1">
      <alignment horizontal="center" vertical="center"/>
    </xf>
    <xf numFmtId="168" fontId="4" fillId="0" borderId="1" xfId="1" applyNumberFormat="1" applyFont="1" applyBorder="1" applyAlignment="1">
      <alignment horizontal="center" vertical="center"/>
    </xf>
    <xf numFmtId="1" fontId="4" fillId="24" borderId="27" xfId="1" applyNumberFormat="1" applyFont="1" applyFill="1" applyBorder="1" applyAlignment="1">
      <alignment horizontal="center" vertical="center"/>
    </xf>
    <xf numFmtId="0" fontId="12" fillId="5" borderId="1" xfId="0" applyFont="1" applyFill="1" applyBorder="1" applyAlignment="1">
      <alignment horizontal="center" wrapText="1"/>
    </xf>
    <xf numFmtId="0" fontId="11" fillId="8" borderId="2" xfId="2" applyFont="1" applyFill="1" applyBorder="1" applyAlignment="1">
      <alignment horizontal="center" vertical="center"/>
    </xf>
    <xf numFmtId="2" fontId="4" fillId="0" borderId="3" xfId="1" applyNumberFormat="1" applyFont="1" applyBorder="1" applyAlignment="1">
      <alignment horizontal="center" vertical="center"/>
    </xf>
    <xf numFmtId="0" fontId="9" fillId="0" borderId="1" xfId="0" applyFont="1" applyBorder="1" applyAlignment="1">
      <alignment horizontal="left"/>
    </xf>
    <xf numFmtId="0" fontId="9" fillId="0" borderId="1" xfId="0" applyFont="1" applyBorder="1" applyAlignment="1">
      <alignment horizontal="center"/>
    </xf>
    <xf numFmtId="9" fontId="0" fillId="0" borderId="1" xfId="0" applyNumberFormat="1" applyBorder="1" applyAlignment="1">
      <alignment horizontal="center"/>
    </xf>
    <xf numFmtId="9" fontId="4" fillId="0" borderId="8" xfId="1" applyFont="1" applyBorder="1" applyAlignment="1">
      <alignment horizontal="center" vertical="center"/>
    </xf>
    <xf numFmtId="0" fontId="25" fillId="18" borderId="4" xfId="0" applyFont="1" applyFill="1" applyBorder="1" applyAlignment="1">
      <alignment horizontal="center" wrapText="1"/>
    </xf>
    <xf numFmtId="0" fontId="31" fillId="4" borderId="1" xfId="0" applyFont="1" applyFill="1" applyBorder="1" applyAlignment="1">
      <alignment horizontal="center"/>
    </xf>
    <xf numFmtId="0" fontId="0" fillId="25" borderId="1" xfId="0" applyFill="1" applyBorder="1" applyAlignment="1">
      <alignment horizontal="left" vertical="center"/>
    </xf>
    <xf numFmtId="0" fontId="0" fillId="25" borderId="4" xfId="0" applyFill="1" applyBorder="1" applyAlignment="1">
      <alignment wrapText="1"/>
    </xf>
    <xf numFmtId="0" fontId="0" fillId="25" borderId="49" xfId="0" applyFill="1" applyBorder="1" applyAlignment="1">
      <alignment horizontal="left" vertical="center"/>
    </xf>
    <xf numFmtId="0" fontId="0" fillId="25" borderId="57" xfId="0" applyFill="1" applyBorder="1" applyAlignment="1">
      <alignment wrapText="1"/>
    </xf>
    <xf numFmtId="0" fontId="0" fillId="25" borderId="1" xfId="0" applyFill="1" applyBorder="1" applyAlignment="1">
      <alignment horizontal="center"/>
    </xf>
    <xf numFmtId="0" fontId="0" fillId="25" borderId="44" xfId="0" applyFill="1" applyBorder="1" applyAlignment="1">
      <alignment horizontal="center"/>
    </xf>
    <xf numFmtId="0" fontId="0" fillId="25" borderId="1" xfId="0" applyFill="1" applyBorder="1"/>
    <xf numFmtId="0" fontId="0" fillId="25" borderId="47" xfId="0" applyFill="1" applyBorder="1"/>
    <xf numFmtId="0" fontId="0" fillId="25" borderId="51" xfId="0" applyFill="1" applyBorder="1"/>
    <xf numFmtId="0" fontId="0" fillId="25" borderId="44" xfId="0" applyFill="1" applyBorder="1"/>
    <xf numFmtId="0" fontId="0" fillId="25" borderId="58" xfId="0" applyFill="1" applyBorder="1"/>
    <xf numFmtId="0" fontId="0" fillId="25" borderId="49" xfId="0" applyFill="1" applyBorder="1"/>
    <xf numFmtId="0" fontId="0" fillId="25" borderId="50" xfId="0" applyFill="1" applyBorder="1"/>
    <xf numFmtId="0" fontId="0" fillId="25" borderId="52" xfId="0" applyFill="1" applyBorder="1"/>
    <xf numFmtId="0" fontId="11" fillId="8" borderId="1" xfId="2" applyFont="1" applyFill="1" applyBorder="1" applyAlignment="1">
      <alignment horizontal="left" vertical="center"/>
    </xf>
    <xf numFmtId="0" fontId="9" fillId="0" borderId="1" xfId="0" applyFont="1" applyBorder="1" applyAlignment="1">
      <alignment vertical="center" wrapText="1"/>
    </xf>
    <xf numFmtId="0" fontId="0" fillId="0" borderId="1" xfId="0" applyBorder="1" applyAlignment="1">
      <alignment vertical="center" wrapText="1"/>
    </xf>
    <xf numFmtId="9" fontId="0" fillId="0" borderId="1" xfId="0" applyNumberFormat="1" applyBorder="1" applyAlignment="1">
      <alignment horizontal="center" vertical="center" wrapText="1"/>
    </xf>
    <xf numFmtId="9" fontId="9" fillId="0" borderId="1" xfId="0" applyNumberFormat="1" applyFont="1" applyBorder="1" applyAlignment="1">
      <alignment horizontal="center" vertical="center" wrapText="1"/>
    </xf>
    <xf numFmtId="0" fontId="0" fillId="25" borderId="14" xfId="0" applyFill="1" applyBorder="1" applyAlignment="1">
      <alignment horizontal="left" vertical="center"/>
    </xf>
    <xf numFmtId="0" fontId="0" fillId="25" borderId="3" xfId="0" applyFill="1" applyBorder="1" applyAlignment="1">
      <alignment horizontal="left" vertical="center"/>
    </xf>
    <xf numFmtId="0" fontId="0" fillId="25" borderId="11" xfId="0" applyFill="1" applyBorder="1" applyAlignment="1">
      <alignment wrapText="1"/>
    </xf>
    <xf numFmtId="0" fontId="0" fillId="25" borderId="3" xfId="0" applyFill="1" applyBorder="1" applyAlignment="1">
      <alignment horizontal="center"/>
    </xf>
    <xf numFmtId="0" fontId="0" fillId="25" borderId="10" xfId="0" applyFill="1" applyBorder="1" applyAlignment="1">
      <alignment horizontal="center"/>
    </xf>
    <xf numFmtId="0" fontId="0" fillId="25" borderId="3" xfId="0" applyFill="1" applyBorder="1"/>
    <xf numFmtId="0" fontId="0" fillId="25" borderId="15" xfId="0" applyFill="1" applyBorder="1"/>
    <xf numFmtId="0" fontId="0" fillId="25" borderId="53" xfId="0" applyFill="1" applyBorder="1"/>
    <xf numFmtId="0" fontId="0" fillId="0" borderId="1" xfId="0" applyBorder="1" applyAlignment="1">
      <alignment wrapText="1"/>
    </xf>
    <xf numFmtId="9" fontId="0" fillId="0" borderId="1" xfId="1" applyFont="1" applyBorder="1" applyAlignment="1">
      <alignment horizontal="center"/>
    </xf>
    <xf numFmtId="0" fontId="0" fillId="0" borderId="34" xfId="0" applyBorder="1" applyAlignment="1">
      <alignment horizontal="center"/>
    </xf>
    <xf numFmtId="0" fontId="9" fillId="21" borderId="55" xfId="0" applyFont="1" applyFill="1" applyBorder="1" applyAlignment="1">
      <alignment horizontal="center" vertical="center"/>
    </xf>
    <xf numFmtId="0" fontId="9" fillId="0" borderId="46" xfId="0" applyFont="1" applyBorder="1" applyAlignment="1">
      <alignment horizontal="left"/>
    </xf>
    <xf numFmtId="0" fontId="9" fillId="21" borderId="47" xfId="0" applyFont="1" applyFill="1" applyBorder="1" applyAlignment="1">
      <alignment horizontal="center" vertical="center"/>
    </xf>
    <xf numFmtId="0" fontId="0" fillId="0" borderId="49" xfId="0" applyBorder="1" applyAlignment="1">
      <alignment wrapText="1"/>
    </xf>
    <xf numFmtId="170" fontId="0" fillId="0" borderId="0" xfId="0" applyNumberFormat="1" applyAlignment="1">
      <alignment vertical="center"/>
    </xf>
    <xf numFmtId="16" fontId="12" fillId="5" borderId="18" xfId="0" applyNumberFormat="1" applyFont="1" applyFill="1" applyBorder="1" applyAlignment="1">
      <alignment horizontal="center" vertical="center" wrapText="1"/>
    </xf>
    <xf numFmtId="0" fontId="12" fillId="0" borderId="8" xfId="0" applyFont="1" applyBorder="1" applyAlignment="1">
      <alignment vertical="center"/>
    </xf>
    <xf numFmtId="0" fontId="12" fillId="0" borderId="8" xfId="0" applyFont="1" applyBorder="1" applyAlignment="1">
      <alignment horizontal="center" vertical="center"/>
    </xf>
    <xf numFmtId="0" fontId="12" fillId="0" borderId="60" xfId="0" applyFont="1" applyBorder="1" applyAlignment="1">
      <alignment vertical="center"/>
    </xf>
    <xf numFmtId="16" fontId="12" fillId="5" borderId="43" xfId="0" applyNumberFormat="1" applyFont="1" applyFill="1" applyBorder="1" applyAlignment="1">
      <alignment horizontal="center" vertical="center" wrapText="1"/>
    </xf>
    <xf numFmtId="16" fontId="12" fillId="5" borderId="0" xfId="0" applyNumberFormat="1" applyFont="1" applyFill="1" applyAlignment="1">
      <alignment horizontal="center" vertical="center" wrapText="1"/>
    </xf>
    <xf numFmtId="0" fontId="12" fillId="0" borderId="0" xfId="0" applyFont="1" applyAlignment="1">
      <alignment vertical="center"/>
    </xf>
    <xf numFmtId="0" fontId="9" fillId="8" borderId="1" xfId="0" applyFont="1" applyFill="1" applyBorder="1" applyAlignment="1">
      <alignment horizontal="center"/>
    </xf>
    <xf numFmtId="1" fontId="4" fillId="0" borderId="1" xfId="1" applyNumberFormat="1" applyFont="1" applyBorder="1" applyAlignment="1">
      <alignment horizontal="center" vertical="center"/>
    </xf>
    <xf numFmtId="0" fontId="12" fillId="5" borderId="1" xfId="0" applyFont="1" applyFill="1" applyBorder="1" applyAlignment="1">
      <alignment horizontal="center" vertical="center" wrapText="1"/>
    </xf>
    <xf numFmtId="0" fontId="32" fillId="0" borderId="1" xfId="0" applyFont="1" applyBorder="1"/>
    <xf numFmtId="17" fontId="32" fillId="0" borderId="44" xfId="0" applyNumberFormat="1" applyFont="1" applyBorder="1"/>
    <xf numFmtId="0" fontId="32" fillId="28" borderId="1" xfId="0" applyFont="1" applyFill="1" applyBorder="1"/>
    <xf numFmtId="0" fontId="32" fillId="0" borderId="0" xfId="0" applyFont="1"/>
    <xf numFmtId="0" fontId="33" fillId="16" borderId="0" xfId="0" applyFont="1" applyFill="1"/>
    <xf numFmtId="0" fontId="34" fillId="0" borderId="0" xfId="0" applyFont="1"/>
    <xf numFmtId="0" fontId="35" fillId="27" borderId="1" xfId="0" applyFont="1" applyFill="1" applyBorder="1" applyAlignment="1">
      <alignment wrapText="1"/>
    </xf>
    <xf numFmtId="0" fontId="35" fillId="27" borderId="44" xfId="0" applyFont="1" applyFill="1" applyBorder="1" applyAlignment="1">
      <alignment wrapText="1"/>
    </xf>
    <xf numFmtId="0" fontId="34" fillId="0" borderId="7" xfId="0" applyFont="1" applyBorder="1"/>
    <xf numFmtId="0" fontId="35" fillId="27" borderId="3" xfId="0" applyFont="1" applyFill="1" applyBorder="1" applyAlignment="1">
      <alignment wrapText="1"/>
    </xf>
    <xf numFmtId="0" fontId="35" fillId="10" borderId="3" xfId="0" applyFont="1" applyFill="1" applyBorder="1"/>
    <xf numFmtId="0" fontId="35" fillId="10" borderId="10" xfId="0" applyFont="1" applyFill="1" applyBorder="1"/>
    <xf numFmtId="0" fontId="35" fillId="10" borderId="14" xfId="0" applyFont="1" applyFill="1" applyBorder="1"/>
    <xf numFmtId="0" fontId="35" fillId="10" borderId="65" xfId="0" applyFont="1" applyFill="1" applyBorder="1"/>
    <xf numFmtId="0" fontId="35" fillId="10" borderId="18" xfId="0" applyFont="1" applyFill="1" applyBorder="1"/>
    <xf numFmtId="0" fontId="35" fillId="10" borderId="43" xfId="0" applyFont="1" applyFill="1" applyBorder="1"/>
    <xf numFmtId="0" fontId="35" fillId="10" borderId="43" xfId="0" applyFont="1" applyFill="1" applyBorder="1" applyAlignment="1">
      <alignment wrapText="1"/>
    </xf>
    <xf numFmtId="0" fontId="35" fillId="10" borderId="0" xfId="0" applyFont="1" applyFill="1" applyAlignment="1">
      <alignment wrapText="1"/>
    </xf>
    <xf numFmtId="0" fontId="35" fillId="10" borderId="8" xfId="0" applyFont="1" applyFill="1" applyBorder="1" applyAlignment="1">
      <alignment wrapText="1"/>
    </xf>
    <xf numFmtId="0" fontId="35" fillId="10" borderId="65" xfId="0" applyFont="1" applyFill="1" applyBorder="1" applyAlignment="1">
      <alignment wrapText="1"/>
    </xf>
    <xf numFmtId="0" fontId="0" fillId="8" borderId="1" xfId="0" applyFill="1" applyBorder="1" applyAlignment="1">
      <alignment horizontal="center" vertical="center"/>
    </xf>
    <xf numFmtId="9" fontId="0" fillId="0" borderId="1" xfId="1" applyFont="1" applyBorder="1" applyAlignment="1">
      <alignment horizontal="center" vertical="center"/>
    </xf>
    <xf numFmtId="9" fontId="0" fillId="0" borderId="1" xfId="0" applyNumberFormat="1" applyBorder="1" applyAlignment="1">
      <alignment horizontal="center" vertical="center"/>
    </xf>
    <xf numFmtId="9" fontId="0" fillId="23" borderId="1" xfId="0" applyNumberFormat="1" applyFill="1" applyBorder="1" applyAlignment="1">
      <alignment horizontal="center" vertical="center"/>
    </xf>
    <xf numFmtId="9" fontId="0" fillId="7" borderId="1" xfId="1" applyFont="1" applyFill="1" applyBorder="1" applyAlignment="1">
      <alignment horizontal="center" vertical="center"/>
    </xf>
    <xf numFmtId="9" fontId="0" fillId="0" borderId="49" xfId="1" applyFont="1" applyBorder="1" applyAlignment="1">
      <alignment horizontal="center" vertical="center"/>
    </xf>
    <xf numFmtId="168" fontId="0" fillId="0" borderId="1" xfId="0" applyNumberFormat="1" applyBorder="1" applyAlignment="1">
      <alignment horizontal="center"/>
    </xf>
    <xf numFmtId="17" fontId="35" fillId="27" borderId="44" xfId="0" applyNumberFormat="1" applyFont="1" applyFill="1" applyBorder="1" applyAlignment="1">
      <alignment wrapText="1"/>
    </xf>
    <xf numFmtId="0" fontId="4" fillId="20" borderId="1" xfId="1" applyNumberFormat="1" applyFont="1" applyFill="1" applyBorder="1" applyAlignment="1">
      <alignment horizontal="center" vertical="center"/>
    </xf>
    <xf numFmtId="0" fontId="16" fillId="17" borderId="1" xfId="0" applyFont="1" applyFill="1" applyBorder="1" applyAlignment="1">
      <alignment horizontal="center"/>
    </xf>
    <xf numFmtId="2" fontId="2" fillId="4" borderId="3" xfId="1" applyNumberFormat="1" applyFont="1" applyFill="1" applyBorder="1" applyAlignment="1">
      <alignment horizontal="center" vertical="center"/>
    </xf>
    <xf numFmtId="0" fontId="4" fillId="23" borderId="1" xfId="1" applyNumberFormat="1" applyFont="1" applyFill="1" applyBorder="1" applyAlignment="1">
      <alignment horizontal="center" vertical="center"/>
    </xf>
    <xf numFmtId="0" fontId="4" fillId="26" borderId="1" xfId="1" applyNumberFormat="1" applyFont="1" applyFill="1" applyBorder="1" applyAlignment="1">
      <alignment horizontal="center" vertical="center"/>
    </xf>
    <xf numFmtId="0" fontId="2" fillId="4" borderId="1" xfId="0" applyFont="1" applyFill="1" applyBorder="1" applyAlignment="1">
      <alignment horizontal="center"/>
    </xf>
    <xf numFmtId="0" fontId="11" fillId="0" borderId="0" xfId="2" applyFont="1" applyAlignment="1">
      <alignment horizontal="center" vertical="center"/>
    </xf>
    <xf numFmtId="168" fontId="2" fillId="4" borderId="3" xfId="1" applyNumberFormat="1" applyFont="1" applyFill="1" applyBorder="1" applyAlignment="1">
      <alignment horizontal="center" vertical="center"/>
    </xf>
    <xf numFmtId="0" fontId="42" fillId="0" borderId="37" xfId="0" applyFont="1" applyBorder="1" applyAlignment="1">
      <alignment wrapText="1"/>
    </xf>
    <xf numFmtId="0" fontId="32" fillId="0" borderId="44" xfId="0" applyFont="1" applyBorder="1" applyAlignment="1">
      <alignment horizontal="center"/>
    </xf>
    <xf numFmtId="0" fontId="32" fillId="0" borderId="0" xfId="0" applyFont="1" applyAlignment="1">
      <alignment horizontal="center"/>
    </xf>
    <xf numFmtId="0" fontId="35" fillId="27" borderId="44" xfId="0" applyFont="1" applyFill="1" applyBorder="1" applyAlignment="1">
      <alignment horizontal="center" wrapText="1"/>
    </xf>
    <xf numFmtId="0" fontId="35" fillId="10" borderId="10" xfId="0" applyFont="1" applyFill="1" applyBorder="1" applyAlignment="1">
      <alignment horizontal="center"/>
    </xf>
    <xf numFmtId="0" fontId="35" fillId="10" borderId="10" xfId="0" applyFont="1" applyFill="1" applyBorder="1" applyAlignment="1">
      <alignment horizontal="center" wrapText="1"/>
    </xf>
    <xf numFmtId="0" fontId="35" fillId="10" borderId="7" xfId="0" applyFont="1" applyFill="1" applyBorder="1" applyAlignment="1">
      <alignment horizontal="center"/>
    </xf>
    <xf numFmtId="0" fontId="35" fillId="10" borderId="3" xfId="0" applyFont="1" applyFill="1" applyBorder="1" applyAlignment="1">
      <alignment horizontal="center"/>
    </xf>
    <xf numFmtId="0" fontId="23" fillId="0" borderId="0" xfId="0" applyFont="1" applyAlignment="1">
      <alignment horizontal="center"/>
    </xf>
    <xf numFmtId="0" fontId="11" fillId="8" borderId="5" xfId="2" applyFont="1" applyFill="1" applyBorder="1" applyAlignment="1">
      <alignment horizontal="center" vertical="center" wrapText="1"/>
    </xf>
    <xf numFmtId="171" fontId="4" fillId="0" borderId="3" xfId="1" applyNumberFormat="1" applyFont="1" applyBorder="1" applyAlignment="1">
      <alignment horizontal="center" vertical="center"/>
    </xf>
    <xf numFmtId="0" fontId="12" fillId="5" borderId="4" xfId="0" applyFont="1" applyFill="1" applyBorder="1" applyAlignment="1">
      <alignment horizontal="left" vertical="center" wrapText="1"/>
    </xf>
    <xf numFmtId="0" fontId="12" fillId="5" borderId="4" xfId="0" applyFont="1" applyFill="1" applyBorder="1" applyAlignment="1">
      <alignment horizontal="left" vertical="center"/>
    </xf>
    <xf numFmtId="0" fontId="12" fillId="5" borderId="1" xfId="0" applyFont="1" applyFill="1" applyBorder="1" applyAlignment="1">
      <alignment horizontal="center" vertical="center"/>
    </xf>
    <xf numFmtId="9" fontId="0" fillId="0" borderId="0" xfId="0" applyNumberFormat="1" applyAlignment="1">
      <alignment vertical="center"/>
    </xf>
    <xf numFmtId="0" fontId="16" fillId="32" borderId="2" xfId="0" applyFont="1" applyFill="1" applyBorder="1" applyAlignment="1">
      <alignment horizontal="center" vertical="top" indent="1" readingOrder="1"/>
    </xf>
    <xf numFmtId="0" fontId="12" fillId="32" borderId="3" xfId="0" applyFont="1" applyFill="1" applyBorder="1" applyAlignment="1">
      <alignment horizontal="center" vertical="top" indent="1"/>
    </xf>
    <xf numFmtId="0" fontId="24" fillId="17" borderId="1" xfId="0" applyFont="1" applyFill="1" applyBorder="1" applyAlignment="1">
      <alignment vertical="center" wrapText="1" readingOrder="1"/>
    </xf>
    <xf numFmtId="0" fontId="25" fillId="18" borderId="10" xfId="0" applyFont="1" applyFill="1" applyBorder="1" applyAlignment="1">
      <alignment wrapText="1"/>
    </xf>
    <xf numFmtId="0" fontId="26" fillId="19" borderId="10" xfId="0" applyFont="1" applyFill="1" applyBorder="1"/>
    <xf numFmtId="0" fontId="26" fillId="19" borderId="10" xfId="0" applyFont="1" applyFill="1" applyBorder="1" applyAlignment="1">
      <alignment horizontal="center"/>
    </xf>
    <xf numFmtId="0" fontId="23" fillId="17" borderId="0" xfId="0" applyFont="1" applyFill="1"/>
    <xf numFmtId="0" fontId="23" fillId="0" borderId="0" xfId="0" applyFont="1" applyAlignment="1">
      <alignment horizontal="center" wrapText="1"/>
    </xf>
    <xf numFmtId="0" fontId="24" fillId="17" borderId="4" xfId="0" applyFont="1" applyFill="1" applyBorder="1" applyAlignment="1">
      <alignment wrapText="1"/>
    </xf>
    <xf numFmtId="0" fontId="24" fillId="17" borderId="3" xfId="0" applyFont="1" applyFill="1" applyBorder="1"/>
    <xf numFmtId="0" fontId="24" fillId="17" borderId="10" xfId="0" applyFont="1" applyFill="1" applyBorder="1" applyAlignment="1">
      <alignment horizontal="center"/>
    </xf>
    <xf numFmtId="0" fontId="24" fillId="17" borderId="10" xfId="0" applyFont="1" applyFill="1" applyBorder="1"/>
    <xf numFmtId="0" fontId="24" fillId="17" borderId="11" xfId="0" applyFont="1" applyFill="1" applyBorder="1"/>
    <xf numFmtId="9" fontId="24" fillId="17" borderId="3" xfId="0" applyNumberFormat="1" applyFont="1" applyFill="1" applyBorder="1"/>
    <xf numFmtId="9" fontId="24" fillId="17" borderId="10" xfId="0" applyNumberFormat="1" applyFont="1" applyFill="1" applyBorder="1" applyAlignment="1">
      <alignment horizontal="center"/>
    </xf>
    <xf numFmtId="0" fontId="24" fillId="28" borderId="1" xfId="0" applyFont="1" applyFill="1" applyBorder="1" applyAlignment="1">
      <alignment horizontal="center"/>
    </xf>
    <xf numFmtId="0" fontId="24" fillId="28" borderId="1" xfId="0" applyFont="1" applyFill="1" applyBorder="1"/>
    <xf numFmtId="0" fontId="24" fillId="28" borderId="4" xfId="0" applyFont="1" applyFill="1" applyBorder="1"/>
    <xf numFmtId="0" fontId="24" fillId="0" borderId="0" xfId="0" applyFont="1"/>
    <xf numFmtId="0" fontId="23" fillId="0" borderId="11" xfId="0" applyFont="1" applyBorder="1"/>
    <xf numFmtId="0" fontId="23" fillId="0" borderId="7" xfId="0" applyFont="1" applyBorder="1" applyAlignment="1">
      <alignment horizontal="center"/>
    </xf>
    <xf numFmtId="9" fontId="0" fillId="7" borderId="49" xfId="1" applyFont="1" applyFill="1" applyBorder="1" applyAlignment="1">
      <alignment horizontal="center" vertical="center"/>
    </xf>
    <xf numFmtId="17" fontId="11" fillId="8" borderId="1" xfId="2" applyNumberFormat="1" applyFont="1" applyFill="1" applyBorder="1" applyAlignment="1">
      <alignment horizontal="center" vertical="center"/>
    </xf>
    <xf numFmtId="0" fontId="12" fillId="0" borderId="2" xfId="0" applyFont="1" applyBorder="1" applyAlignment="1">
      <alignment vertical="center"/>
    </xf>
    <xf numFmtId="9" fontId="4" fillId="7" borderId="1" xfId="1" applyFont="1" applyFill="1" applyBorder="1" applyAlignment="1">
      <alignment horizontal="center" vertical="center"/>
    </xf>
    <xf numFmtId="9" fontId="12" fillId="5" borderId="1" xfId="0" applyNumberFormat="1" applyFont="1" applyFill="1" applyBorder="1" applyAlignment="1">
      <alignment horizontal="center" vertical="center" wrapText="1"/>
    </xf>
    <xf numFmtId="167" fontId="4" fillId="0" borderId="1" xfId="1" applyNumberFormat="1" applyFont="1" applyBorder="1" applyAlignment="1">
      <alignment horizontal="center" vertical="center"/>
    </xf>
    <xf numFmtId="10" fontId="0" fillId="0" borderId="0" xfId="0" applyNumberFormat="1" applyAlignment="1">
      <alignment vertical="center" wrapText="1"/>
    </xf>
    <xf numFmtId="10" fontId="9" fillId="0" borderId="0" xfId="0" applyNumberFormat="1" applyFont="1" applyAlignment="1">
      <alignment vertical="center" wrapText="1"/>
    </xf>
    <xf numFmtId="0" fontId="11" fillId="33" borderId="69" xfId="0" applyFont="1" applyFill="1" applyBorder="1"/>
    <xf numFmtId="0" fontId="11" fillId="33" borderId="70" xfId="0" applyFont="1" applyFill="1" applyBorder="1"/>
    <xf numFmtId="0" fontId="13" fillId="6" borderId="0" xfId="0" applyFont="1" applyFill="1"/>
    <xf numFmtId="9" fontId="0" fillId="0" borderId="0" xfId="1" applyFont="1"/>
    <xf numFmtId="2" fontId="0" fillId="0" borderId="0" xfId="0" applyNumberFormat="1"/>
    <xf numFmtId="10" fontId="0" fillId="0" borderId="0" xfId="1" applyNumberFormat="1" applyFont="1"/>
    <xf numFmtId="0" fontId="11" fillId="2" borderId="1" xfId="0" applyFont="1" applyFill="1" applyBorder="1" applyAlignment="1">
      <alignment horizontal="left" vertical="center" wrapText="1"/>
    </xf>
    <xf numFmtId="0" fontId="5" fillId="0" borderId="0" xfId="0" applyFont="1" applyAlignment="1">
      <alignment horizontal="left"/>
    </xf>
    <xf numFmtId="0" fontId="0" fillId="0" borderId="0" xfId="0" applyAlignment="1">
      <alignment horizontal="left"/>
    </xf>
    <xf numFmtId="0" fontId="12" fillId="5" borderId="1" xfId="0" applyFont="1" applyFill="1" applyBorder="1" applyAlignment="1">
      <alignment horizontal="left" wrapText="1"/>
    </xf>
    <xf numFmtId="9" fontId="12" fillId="5" borderId="1" xfId="0" applyNumberFormat="1" applyFont="1" applyFill="1" applyBorder="1" applyAlignment="1">
      <alignment horizontal="left"/>
    </xf>
    <xf numFmtId="0" fontId="12" fillId="5" borderId="44" xfId="0" applyFont="1" applyFill="1" applyBorder="1" applyAlignment="1">
      <alignment horizontal="left" wrapText="1"/>
    </xf>
    <xf numFmtId="9" fontId="12" fillId="5" borderId="44" xfId="0" applyNumberFormat="1" applyFont="1" applyFill="1" applyBorder="1" applyAlignment="1">
      <alignment horizontal="left"/>
    </xf>
    <xf numFmtId="0" fontId="12" fillId="5" borderId="1" xfId="0" applyFont="1" applyFill="1" applyBorder="1" applyAlignment="1">
      <alignment horizontal="left"/>
    </xf>
    <xf numFmtId="0" fontId="11" fillId="8" borderId="3" xfId="0" applyFont="1" applyFill="1" applyBorder="1" applyAlignment="1">
      <alignment horizontal="left" vertical="center"/>
    </xf>
    <xf numFmtId="0" fontId="0" fillId="0" borderId="11" xfId="0" applyBorder="1" applyAlignment="1">
      <alignment horizontal="left"/>
    </xf>
    <xf numFmtId="0" fontId="15" fillId="5" borderId="60" xfId="0" applyFont="1" applyFill="1" applyBorder="1" applyAlignment="1">
      <alignment horizontal="center" vertical="center"/>
    </xf>
    <xf numFmtId="0" fontId="16" fillId="17" borderId="1" xfId="0" applyFont="1" applyFill="1" applyBorder="1" applyAlignment="1">
      <alignment horizontal="center" vertical="center"/>
    </xf>
    <xf numFmtId="0" fontId="12" fillId="5" borderId="4" xfId="0" applyFont="1" applyFill="1"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9" fontId="0" fillId="0" borderId="1" xfId="1" applyFont="1" applyFill="1" applyBorder="1" applyAlignment="1">
      <alignment horizontal="center" vertical="center"/>
    </xf>
    <xf numFmtId="9" fontId="44" fillId="7" borderId="1" xfId="1" applyFont="1" applyFill="1" applyBorder="1" applyAlignment="1">
      <alignment horizontal="center" vertical="center"/>
    </xf>
    <xf numFmtId="9" fontId="0" fillId="0" borderId="49" xfId="0" applyNumberFormat="1" applyBorder="1" applyAlignment="1">
      <alignment horizontal="center" vertical="center"/>
    </xf>
    <xf numFmtId="1" fontId="4" fillId="34" borderId="1" xfId="1" applyNumberFormat="1" applyFont="1" applyFill="1" applyBorder="1" applyAlignment="1">
      <alignment horizontal="center" vertical="center"/>
    </xf>
    <xf numFmtId="0" fontId="4" fillId="35" borderId="1" xfId="1" applyNumberFormat="1" applyFont="1" applyFill="1" applyBorder="1" applyAlignment="1">
      <alignment horizontal="center" vertical="center"/>
    </xf>
    <xf numFmtId="0" fontId="16" fillId="35" borderId="2" xfId="0" applyFont="1" applyFill="1" applyBorder="1" applyAlignment="1">
      <alignment horizontal="center" vertical="top" indent="1" readingOrder="1"/>
    </xf>
    <xf numFmtId="0" fontId="12" fillId="35" borderId="3" xfId="0" applyFont="1" applyFill="1" applyBorder="1" applyAlignment="1">
      <alignment horizontal="center" vertical="top" indent="1"/>
    </xf>
    <xf numFmtId="169" fontId="4" fillId="0" borderId="3" xfId="1" applyNumberFormat="1" applyFont="1" applyBorder="1" applyAlignment="1">
      <alignment horizontal="center" vertical="center"/>
    </xf>
    <xf numFmtId="0" fontId="12" fillId="0" borderId="13" xfId="0" applyFont="1" applyBorder="1" applyAlignment="1">
      <alignment vertical="center"/>
    </xf>
    <xf numFmtId="16" fontId="12" fillId="5" borderId="12" xfId="0" applyNumberFormat="1" applyFont="1" applyFill="1" applyBorder="1" applyAlignment="1">
      <alignment horizontal="center" vertical="center" wrapText="1"/>
    </xf>
    <xf numFmtId="0" fontId="12" fillId="0" borderId="2" xfId="0" applyFont="1" applyBorder="1" applyAlignment="1">
      <alignment horizontal="center" vertical="center"/>
    </xf>
    <xf numFmtId="0" fontId="0" fillId="0" borderId="0" xfId="0" quotePrefix="1" applyAlignment="1">
      <alignment horizontal="center" vertical="center" wrapText="1"/>
    </xf>
    <xf numFmtId="9" fontId="12" fillId="5" borderId="1" xfId="0" applyNumberFormat="1" applyFont="1" applyFill="1" applyBorder="1" applyAlignment="1">
      <alignment horizontal="left" vertical="center" wrapText="1"/>
    </xf>
    <xf numFmtId="9" fontId="0" fillId="36" borderId="1" xfId="0" applyNumberFormat="1" applyFill="1" applyBorder="1" applyAlignment="1">
      <alignment horizontal="center" vertical="center"/>
    </xf>
    <xf numFmtId="9" fontId="0" fillId="36" borderId="1" xfId="1" applyFont="1" applyFill="1" applyBorder="1" applyAlignment="1">
      <alignment horizontal="center" vertical="center"/>
    </xf>
    <xf numFmtId="16" fontId="12" fillId="5" borderId="41" xfId="0" applyNumberFormat="1" applyFont="1" applyFill="1" applyBorder="1" applyAlignment="1">
      <alignment horizontal="center" vertical="center" wrapText="1"/>
    </xf>
    <xf numFmtId="0" fontId="12" fillId="5" borderId="41" xfId="0" applyFont="1" applyFill="1" applyBorder="1" applyAlignment="1">
      <alignment horizontal="center" vertical="center" wrapText="1"/>
    </xf>
    <xf numFmtId="16" fontId="12" fillId="5" borderId="18" xfId="0" applyNumberFormat="1" applyFont="1" applyFill="1" applyBorder="1" applyAlignment="1">
      <alignment horizontal="left" vertical="center" wrapText="1"/>
    </xf>
    <xf numFmtId="0" fontId="12" fillId="0" borderId="8" xfId="0" applyFont="1" applyBorder="1" applyAlignment="1">
      <alignment horizontal="left" vertical="center"/>
    </xf>
    <xf numFmtId="0" fontId="12" fillId="0" borderId="60" xfId="0" applyFont="1" applyBorder="1" applyAlignment="1">
      <alignment horizontal="left" vertical="center"/>
    </xf>
    <xf numFmtId="0" fontId="15" fillId="5" borderId="73" xfId="0" applyFont="1" applyFill="1" applyBorder="1" applyAlignment="1">
      <alignment horizontal="center" vertical="center"/>
    </xf>
    <xf numFmtId="0" fontId="12" fillId="5" borderId="41" xfId="0" applyFont="1" applyFill="1" applyBorder="1" applyAlignment="1">
      <alignment horizontal="left" wrapText="1"/>
    </xf>
    <xf numFmtId="0" fontId="48" fillId="0" borderId="41" xfId="0" applyFont="1" applyBorder="1" applyAlignment="1">
      <alignment wrapText="1"/>
    </xf>
    <xf numFmtId="0" fontId="12" fillId="5" borderId="41" xfId="0" applyFont="1" applyFill="1" applyBorder="1" applyAlignment="1">
      <alignment horizontal="left" vertical="center" wrapText="1"/>
    </xf>
    <xf numFmtId="0" fontId="48" fillId="0" borderId="41" xfId="0" applyFont="1" applyBorder="1"/>
    <xf numFmtId="16" fontId="12" fillId="5" borderId="2" xfId="0" applyNumberFormat="1" applyFont="1" applyFill="1" applyBorder="1" applyAlignment="1">
      <alignment vertical="center" wrapText="1"/>
    </xf>
    <xf numFmtId="0" fontId="4" fillId="0" borderId="3" xfId="1" applyNumberFormat="1" applyFont="1" applyBorder="1" applyAlignment="1">
      <alignment horizontal="center" vertical="center"/>
    </xf>
    <xf numFmtId="0" fontId="12" fillId="5" borderId="1" xfId="0" applyFont="1" applyFill="1" applyBorder="1" applyAlignment="1">
      <alignment horizontal="center" vertical="top" wrapText="1"/>
    </xf>
    <xf numFmtId="0" fontId="4" fillId="11" borderId="1" xfId="1" applyNumberFormat="1" applyFont="1" applyFill="1" applyBorder="1" applyAlignment="1">
      <alignment horizontal="center" vertical="center"/>
    </xf>
    <xf numFmtId="16" fontId="12" fillId="5" borderId="12" xfId="0" applyNumberFormat="1" applyFont="1" applyFill="1" applyBorder="1" applyAlignment="1">
      <alignment vertical="center" wrapText="1"/>
    </xf>
    <xf numFmtId="16" fontId="12" fillId="5" borderId="18" xfId="0" applyNumberFormat="1" applyFont="1" applyFill="1" applyBorder="1" applyAlignment="1">
      <alignment vertical="center" wrapText="1"/>
    </xf>
    <xf numFmtId="168" fontId="4" fillId="7" borderId="1" xfId="1" applyNumberFormat="1" applyFont="1" applyFill="1" applyBorder="1" applyAlignment="1">
      <alignment horizontal="center" vertical="center"/>
    </xf>
    <xf numFmtId="0" fontId="12" fillId="0" borderId="15" xfId="0" applyFont="1" applyBorder="1" applyAlignment="1">
      <alignment vertical="center"/>
    </xf>
    <xf numFmtId="16" fontId="12" fillId="5" borderId="14" xfId="0" applyNumberFormat="1" applyFont="1" applyFill="1" applyBorder="1" applyAlignment="1">
      <alignment horizontal="center" vertical="center" wrapText="1"/>
    </xf>
    <xf numFmtId="0" fontId="12" fillId="0" borderId="3" xfId="0" applyFont="1" applyBorder="1" applyAlignment="1">
      <alignment vertical="center"/>
    </xf>
    <xf numFmtId="0" fontId="12" fillId="0" borderId="3" xfId="0" applyFont="1" applyBorder="1" applyAlignment="1">
      <alignment horizontal="center" vertical="center"/>
    </xf>
    <xf numFmtId="16" fontId="12" fillId="5" borderId="72" xfId="0" applyNumberFormat="1" applyFont="1" applyFill="1" applyBorder="1" applyAlignment="1">
      <alignment horizontal="center" vertical="center" wrapText="1"/>
    </xf>
    <xf numFmtId="0" fontId="15" fillId="5" borderId="41" xfId="0" applyFont="1" applyFill="1" applyBorder="1" applyAlignment="1">
      <alignment horizontal="center" vertical="center"/>
    </xf>
    <xf numFmtId="0" fontId="12" fillId="5" borderId="1" xfId="0" applyFont="1" applyFill="1" applyBorder="1" applyAlignment="1">
      <alignment horizontal="left" vertical="center" wrapText="1"/>
    </xf>
    <xf numFmtId="0" fontId="12" fillId="5" borderId="8" xfId="0" applyFont="1" applyFill="1" applyBorder="1" applyAlignment="1">
      <alignment horizontal="left"/>
    </xf>
    <xf numFmtId="9" fontId="0" fillId="23" borderId="1" xfId="0" applyNumberFormat="1" applyFill="1" applyBorder="1" applyAlignment="1">
      <alignment horizontal="center"/>
    </xf>
    <xf numFmtId="16" fontId="12" fillId="5" borderId="41" xfId="0" applyNumberFormat="1" applyFont="1" applyFill="1" applyBorder="1" applyAlignment="1">
      <alignment vertical="center" wrapText="1"/>
    </xf>
    <xf numFmtId="9" fontId="2" fillId="37" borderId="3" xfId="1" applyFont="1" applyFill="1" applyBorder="1" applyAlignment="1">
      <alignment horizontal="center" vertical="center"/>
    </xf>
    <xf numFmtId="0" fontId="16" fillId="17" borderId="1" xfId="0" applyFont="1" applyFill="1" applyBorder="1" applyAlignment="1">
      <alignment horizontal="left" vertical="center" wrapText="1"/>
    </xf>
    <xf numFmtId="10" fontId="0" fillId="0" borderId="0" xfId="0" applyNumberFormat="1"/>
    <xf numFmtId="9" fontId="0" fillId="36" borderId="41" xfId="1" applyFont="1" applyFill="1" applyBorder="1" applyAlignment="1">
      <alignment horizontal="center" vertical="center"/>
    </xf>
    <xf numFmtId="0" fontId="12" fillId="5" borderId="2" xfId="0" applyFont="1" applyFill="1" applyBorder="1" applyAlignment="1">
      <alignment horizontal="center" vertical="center"/>
    </xf>
    <xf numFmtId="0" fontId="12" fillId="5" borderId="3" xfId="0" applyFont="1" applyFill="1" applyBorder="1" applyAlignment="1">
      <alignment horizontal="center" vertical="center"/>
    </xf>
    <xf numFmtId="16" fontId="12" fillId="5" borderId="12" xfId="0" applyNumberFormat="1" applyFont="1" applyFill="1" applyBorder="1" applyAlignment="1">
      <alignment horizontal="center" vertical="center" wrapText="1"/>
    </xf>
    <xf numFmtId="16" fontId="12" fillId="5" borderId="14" xfId="0" applyNumberFormat="1" applyFont="1" applyFill="1" applyBorder="1" applyAlignment="1">
      <alignment horizontal="center" vertical="center" wrapText="1"/>
    </xf>
    <xf numFmtId="0" fontId="12" fillId="5" borderId="2" xfId="0" quotePrefix="1" applyFont="1" applyFill="1" applyBorder="1" applyAlignment="1">
      <alignment horizontal="center" vertical="center" wrapText="1"/>
    </xf>
    <xf numFmtId="0" fontId="12" fillId="5" borderId="3" xfId="0" applyFont="1" applyFill="1" applyBorder="1" applyAlignment="1">
      <alignment horizontal="center" vertical="center" wrapText="1"/>
    </xf>
    <xf numFmtId="0" fontId="3" fillId="5" borderId="2" xfId="0" quotePrefix="1" applyFont="1" applyFill="1" applyBorder="1" applyAlignment="1">
      <alignment horizontal="left" vertical="center" wrapText="1"/>
    </xf>
    <xf numFmtId="0" fontId="3" fillId="5" borderId="3" xfId="0" applyFont="1" applyFill="1" applyBorder="1" applyAlignment="1">
      <alignment horizontal="left" vertical="center" wrapText="1"/>
    </xf>
    <xf numFmtId="0" fontId="12" fillId="5" borderId="2" xfId="0" applyFont="1" applyFill="1" applyBorder="1" applyAlignment="1">
      <alignment horizontal="center" vertical="center" wrapText="1"/>
    </xf>
    <xf numFmtId="16" fontId="12" fillId="5" borderId="2" xfId="0" applyNumberFormat="1" applyFont="1" applyFill="1" applyBorder="1" applyAlignment="1">
      <alignment horizontal="center" vertical="center" wrapText="1"/>
    </xf>
    <xf numFmtId="16" fontId="12" fillId="5" borderId="3" xfId="0" applyNumberFormat="1" applyFont="1" applyFill="1" applyBorder="1" applyAlignment="1">
      <alignment horizontal="center" vertical="center" wrapText="1"/>
    </xf>
    <xf numFmtId="0" fontId="15" fillId="5" borderId="13" xfId="0" applyFont="1" applyFill="1" applyBorder="1" applyAlignment="1">
      <alignment horizontal="center" vertical="center"/>
    </xf>
    <xf numFmtId="0" fontId="15" fillId="5" borderId="15" xfId="0" applyFont="1" applyFill="1" applyBorder="1" applyAlignment="1">
      <alignment horizontal="center" vertical="center"/>
    </xf>
    <xf numFmtId="0" fontId="16" fillId="0" borderId="2" xfId="0" applyFont="1" applyBorder="1" applyAlignment="1">
      <alignment horizontal="left" vertical="center" readingOrder="1"/>
    </xf>
    <xf numFmtId="0" fontId="12" fillId="0" borderId="3" xfId="0" applyFont="1" applyBorder="1" applyAlignment="1">
      <alignment horizontal="left" vertical="center"/>
    </xf>
    <xf numFmtId="0" fontId="12" fillId="5" borderId="2" xfId="0" applyFont="1" applyFill="1" applyBorder="1" applyAlignment="1">
      <alignment horizontal="left" vertical="center" wrapText="1"/>
    </xf>
    <xf numFmtId="0" fontId="12" fillId="5" borderId="3" xfId="0" applyFont="1" applyFill="1" applyBorder="1" applyAlignment="1">
      <alignment horizontal="left" vertical="center"/>
    </xf>
    <xf numFmtId="0" fontId="12" fillId="0" borderId="13" xfId="0" applyFont="1" applyBorder="1" applyAlignment="1">
      <alignment vertical="center"/>
    </xf>
    <xf numFmtId="0" fontId="12" fillId="0" borderId="15" xfId="0" applyFont="1" applyBorder="1" applyAlignment="1">
      <alignment vertical="center"/>
    </xf>
    <xf numFmtId="0" fontId="6" fillId="6" borderId="0" xfId="0" applyFont="1" applyFill="1" applyAlignment="1">
      <alignment horizontal="left"/>
    </xf>
    <xf numFmtId="0" fontId="16" fillId="5" borderId="2" xfId="0" applyFont="1" applyFill="1" applyBorder="1" applyAlignment="1">
      <alignment horizontal="left" vertical="center" readingOrder="1"/>
    </xf>
    <xf numFmtId="0" fontId="16" fillId="5" borderId="3" xfId="0" applyFont="1" applyFill="1" applyBorder="1" applyAlignment="1">
      <alignment horizontal="left" vertical="center" readingOrder="1"/>
    </xf>
    <xf numFmtId="0" fontId="12" fillId="5" borderId="2" xfId="0" applyFont="1" applyFill="1" applyBorder="1" applyAlignment="1">
      <alignment horizontal="left" vertical="center"/>
    </xf>
    <xf numFmtId="168" fontId="12" fillId="5" borderId="2" xfId="0" applyNumberFormat="1" applyFont="1" applyFill="1" applyBorder="1" applyAlignment="1">
      <alignment horizontal="center" vertical="center" wrapText="1"/>
    </xf>
    <xf numFmtId="168" fontId="12" fillId="5" borderId="3" xfId="0" applyNumberFormat="1" applyFont="1" applyFill="1" applyBorder="1" applyAlignment="1">
      <alignment horizontal="center" vertical="center"/>
    </xf>
    <xf numFmtId="10" fontId="12" fillId="5" borderId="2" xfId="0" applyNumberFormat="1" applyFont="1" applyFill="1" applyBorder="1" applyAlignment="1">
      <alignment horizontal="center" vertical="center"/>
    </xf>
    <xf numFmtId="0" fontId="16" fillId="5" borderId="2" xfId="0" applyFont="1" applyFill="1" applyBorder="1" applyAlignment="1">
      <alignment horizontal="left" vertical="center" wrapText="1" readingOrder="1"/>
    </xf>
    <xf numFmtId="10" fontId="12" fillId="5" borderId="2" xfId="0" applyNumberFormat="1" applyFont="1" applyFill="1" applyBorder="1" applyAlignment="1">
      <alignment horizontal="center" vertical="center" wrapText="1"/>
    </xf>
    <xf numFmtId="0" fontId="14" fillId="9" borderId="0" xfId="0" applyFont="1" applyFill="1" applyAlignment="1">
      <alignment horizontal="center"/>
    </xf>
    <xf numFmtId="0" fontId="11" fillId="8" borderId="5" xfId="2" applyFont="1" applyFill="1" applyBorder="1" applyAlignment="1">
      <alignment horizontal="center" vertical="center" wrapText="1"/>
    </xf>
    <xf numFmtId="0" fontId="11" fillId="8" borderId="6" xfId="2" applyFont="1" applyFill="1" applyBorder="1" applyAlignment="1">
      <alignment horizontal="center" vertical="center" wrapText="1"/>
    </xf>
    <xf numFmtId="0" fontId="11" fillId="8" borderId="1" xfId="2" applyFont="1" applyFill="1" applyBorder="1" applyAlignment="1">
      <alignment horizontal="center" vertical="center"/>
    </xf>
    <xf numFmtId="0" fontId="13" fillId="7" borderId="19" xfId="3" applyFont="1" applyFill="1" applyBorder="1" applyAlignment="1">
      <alignment horizontal="center" vertical="center"/>
    </xf>
    <xf numFmtId="0" fontId="13" fillId="7" borderId="20" xfId="3" applyFont="1" applyFill="1" applyBorder="1" applyAlignment="1">
      <alignment horizontal="center" vertical="center"/>
    </xf>
    <xf numFmtId="0" fontId="13" fillId="7" borderId="21" xfId="3" applyFont="1" applyFill="1" applyBorder="1" applyAlignment="1">
      <alignment horizontal="center" vertical="center"/>
    </xf>
    <xf numFmtId="9" fontId="12" fillId="5" borderId="2" xfId="0" applyNumberFormat="1" applyFont="1" applyFill="1" applyBorder="1" applyAlignment="1">
      <alignment horizontal="center" vertical="center" wrapText="1"/>
    </xf>
    <xf numFmtId="0" fontId="13" fillId="7" borderId="19" xfId="0" applyFont="1" applyFill="1" applyBorder="1" applyAlignment="1">
      <alignment horizontal="center"/>
    </xf>
    <xf numFmtId="0" fontId="13" fillId="7" borderId="20" xfId="0" applyFont="1" applyFill="1" applyBorder="1" applyAlignment="1">
      <alignment horizontal="center"/>
    </xf>
    <xf numFmtId="0" fontId="13" fillId="7" borderId="21" xfId="0" applyFont="1" applyFill="1" applyBorder="1" applyAlignment="1">
      <alignment horizontal="center"/>
    </xf>
    <xf numFmtId="0" fontId="12" fillId="0" borderId="2" xfId="0" applyFont="1" applyBorder="1" applyAlignment="1">
      <alignment vertical="center"/>
    </xf>
    <xf numFmtId="0" fontId="12" fillId="0" borderId="3" xfId="0" applyFont="1" applyBorder="1" applyAlignment="1">
      <alignment vertical="center"/>
    </xf>
    <xf numFmtId="0" fontId="12" fillId="0" borderId="2" xfId="0" quotePrefix="1" applyFont="1" applyBorder="1" applyAlignment="1">
      <alignment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2" xfId="0" applyFont="1" applyBorder="1" applyAlignment="1">
      <alignment vertical="center" wrapText="1"/>
    </xf>
    <xf numFmtId="0" fontId="12" fillId="0" borderId="3" xfId="0" applyFont="1" applyBorder="1" applyAlignment="1">
      <alignment vertical="center" wrapText="1"/>
    </xf>
    <xf numFmtId="0" fontId="12" fillId="0" borderId="13" xfId="0" applyFont="1" applyBorder="1" applyAlignment="1">
      <alignment vertical="center" wrapText="1"/>
    </xf>
    <xf numFmtId="0" fontId="12" fillId="0" borderId="15" xfId="0" applyFont="1" applyBorder="1" applyAlignment="1">
      <alignment vertical="center" wrapText="1"/>
    </xf>
    <xf numFmtId="16" fontId="12" fillId="5" borderId="24" xfId="0" applyNumberFormat="1" applyFont="1" applyFill="1" applyBorder="1" applyAlignment="1">
      <alignment horizontal="center" vertical="center" wrapText="1"/>
    </xf>
    <xf numFmtId="0" fontId="0" fillId="0" borderId="22" xfId="0" applyBorder="1" applyAlignment="1">
      <alignment horizontal="center"/>
    </xf>
    <xf numFmtId="0" fontId="0" fillId="0" borderId="23" xfId="0" applyBorder="1" applyAlignment="1">
      <alignment horizontal="center"/>
    </xf>
    <xf numFmtId="0" fontId="12" fillId="0" borderId="16" xfId="0" applyFont="1" applyBorder="1" applyAlignment="1">
      <alignment vertical="center"/>
    </xf>
    <xf numFmtId="0" fontId="12" fillId="0" borderId="16" xfId="0" applyFont="1" applyBorder="1" applyAlignment="1">
      <alignment horizontal="center" vertical="center"/>
    </xf>
    <xf numFmtId="0" fontId="12" fillId="0" borderId="17" xfId="0" applyFont="1" applyBorder="1" applyAlignment="1">
      <alignment vertical="center"/>
    </xf>
    <xf numFmtId="0" fontId="12" fillId="5" borderId="3" xfId="0" applyFont="1" applyFill="1" applyBorder="1" applyAlignment="1">
      <alignment horizontal="left" vertical="center" wrapText="1"/>
    </xf>
    <xf numFmtId="0" fontId="3" fillId="5" borderId="2" xfId="0" applyFont="1" applyFill="1" applyBorder="1" applyAlignment="1">
      <alignment horizontal="left" vertical="center" wrapText="1"/>
    </xf>
    <xf numFmtId="0" fontId="12" fillId="5" borderId="16" xfId="0" applyFont="1" applyFill="1" applyBorder="1" applyAlignment="1">
      <alignment horizontal="center" vertical="center" wrapText="1"/>
    </xf>
    <xf numFmtId="0" fontId="12" fillId="5" borderId="30" xfId="0" applyFont="1" applyFill="1" applyBorder="1" applyAlignment="1">
      <alignment horizontal="center" vertical="center" wrapText="1"/>
    </xf>
    <xf numFmtId="0" fontId="0" fillId="0" borderId="2" xfId="0" applyBorder="1" applyAlignment="1">
      <alignment vertical="center"/>
    </xf>
    <xf numFmtId="0" fontId="0" fillId="0" borderId="3" xfId="0" applyBorder="1" applyAlignment="1">
      <alignment vertical="center"/>
    </xf>
    <xf numFmtId="0" fontId="0" fillId="0" borderId="1" xfId="0" applyBorder="1" applyAlignment="1">
      <alignment vertical="center"/>
    </xf>
    <xf numFmtId="0" fontId="0" fillId="0" borderId="41" xfId="0" applyBorder="1" applyAlignment="1">
      <alignment vertical="center"/>
    </xf>
    <xf numFmtId="0" fontId="0" fillId="0" borderId="2" xfId="0" applyBorder="1" applyAlignment="1">
      <alignment horizontal="left" vertical="center"/>
    </xf>
    <xf numFmtId="0" fontId="0" fillId="0" borderId="3" xfId="0" applyBorder="1" applyAlignment="1">
      <alignment horizontal="left" vertical="center"/>
    </xf>
    <xf numFmtId="0" fontId="20" fillId="6" borderId="28" xfId="0" applyFont="1" applyFill="1" applyBorder="1" applyAlignment="1">
      <alignment horizontal="center" vertical="center" textRotation="90" wrapText="1"/>
    </xf>
    <xf numFmtId="0" fontId="20" fillId="6" borderId="29" xfId="0" applyFont="1" applyFill="1" applyBorder="1" applyAlignment="1">
      <alignment horizontal="center" vertical="center" textRotation="90"/>
    </xf>
    <xf numFmtId="0" fontId="20" fillId="6" borderId="35" xfId="0" applyFont="1" applyFill="1" applyBorder="1" applyAlignment="1">
      <alignment horizontal="center" vertical="center" textRotation="90"/>
    </xf>
    <xf numFmtId="0" fontId="20" fillId="6" borderId="0" xfId="0" applyFont="1" applyFill="1" applyAlignment="1">
      <alignment horizontal="center" vertical="center" textRotation="90"/>
    </xf>
    <xf numFmtId="0" fontId="20" fillId="6" borderId="36" xfId="0" applyFont="1" applyFill="1" applyBorder="1" applyAlignment="1">
      <alignment horizontal="center" vertical="center" textRotation="90"/>
    </xf>
    <xf numFmtId="0" fontId="20" fillId="6" borderId="42" xfId="0" applyFont="1" applyFill="1" applyBorder="1" applyAlignment="1">
      <alignment horizontal="center" vertical="center" textRotation="90"/>
    </xf>
    <xf numFmtId="0" fontId="20" fillId="6" borderId="29" xfId="0" applyFont="1" applyFill="1" applyBorder="1" applyAlignment="1">
      <alignment horizontal="center" vertical="center" textRotation="90" wrapText="1"/>
    </xf>
    <xf numFmtId="0" fontId="20" fillId="6" borderId="35" xfId="0" applyFont="1" applyFill="1" applyBorder="1" applyAlignment="1">
      <alignment horizontal="center" vertical="center" textRotation="90" wrapText="1"/>
    </xf>
    <xf numFmtId="0" fontId="20" fillId="6" borderId="0" xfId="0" applyFont="1" applyFill="1" applyAlignment="1">
      <alignment horizontal="center" vertical="center" textRotation="90" wrapText="1"/>
    </xf>
    <xf numFmtId="0" fontId="20" fillId="6" borderId="37" xfId="0" applyFont="1" applyFill="1" applyBorder="1" applyAlignment="1">
      <alignment horizontal="center" vertical="center" textRotation="90" wrapText="1"/>
    </xf>
    <xf numFmtId="0" fontId="20" fillId="6" borderId="36" xfId="0" applyFont="1" applyFill="1" applyBorder="1" applyAlignment="1">
      <alignment horizontal="center" vertical="center" textRotation="90" wrapText="1"/>
    </xf>
    <xf numFmtId="0" fontId="20" fillId="6" borderId="25" xfId="0" applyFont="1" applyFill="1" applyBorder="1" applyAlignment="1">
      <alignment horizontal="center" vertical="center" textRotation="90" wrapText="1"/>
    </xf>
    <xf numFmtId="0" fontId="0" fillId="11" borderId="3" xfId="0" applyFill="1" applyBorder="1" applyAlignment="1">
      <alignment vertical="center"/>
    </xf>
    <xf numFmtId="0" fontId="0" fillId="11" borderId="1" xfId="0" applyFill="1" applyBorder="1" applyAlignment="1">
      <alignment vertical="center"/>
    </xf>
    <xf numFmtId="0" fontId="16" fillId="5" borderId="3" xfId="0" applyFont="1" applyFill="1" applyBorder="1" applyAlignment="1">
      <alignment vertical="center" readingOrder="1"/>
    </xf>
    <xf numFmtId="0" fontId="16" fillId="5" borderId="1" xfId="0" applyFont="1" applyFill="1" applyBorder="1" applyAlignment="1">
      <alignment vertical="center" readingOrder="1"/>
    </xf>
    <xf numFmtId="0" fontId="16" fillId="5" borderId="1" xfId="0" applyFont="1" applyFill="1" applyBorder="1" applyAlignment="1">
      <alignment horizontal="left" vertical="center" readingOrder="1"/>
    </xf>
    <xf numFmtId="0" fontId="9" fillId="14" borderId="30" xfId="0" applyFont="1" applyFill="1" applyBorder="1" applyAlignment="1">
      <alignment horizontal="center" vertical="center" wrapText="1"/>
    </xf>
    <xf numFmtId="0" fontId="9" fillId="14" borderId="34" xfId="0" applyFont="1" applyFill="1" applyBorder="1" applyAlignment="1">
      <alignment horizontal="center" vertical="center" wrapText="1"/>
    </xf>
    <xf numFmtId="0" fontId="9" fillId="14" borderId="29" xfId="0" applyFont="1" applyFill="1" applyBorder="1" applyAlignment="1">
      <alignment horizontal="center" vertical="center" wrapText="1"/>
    </xf>
    <xf numFmtId="0" fontId="9" fillId="14" borderId="54" xfId="0" applyFont="1" applyFill="1" applyBorder="1" applyAlignment="1">
      <alignment horizontal="center" vertical="center" wrapText="1"/>
    </xf>
    <xf numFmtId="0" fontId="9" fillId="14" borderId="1" xfId="0" applyFont="1" applyFill="1" applyBorder="1" applyAlignment="1">
      <alignment horizontal="center" vertical="center" wrapText="1"/>
    </xf>
    <xf numFmtId="0" fontId="11" fillId="12" borderId="28" xfId="0" applyFont="1" applyFill="1" applyBorder="1" applyAlignment="1">
      <alignment vertical="center"/>
    </xf>
    <xf numFmtId="0" fontId="11" fillId="6" borderId="26"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9" fillId="14" borderId="1" xfId="0" applyFont="1" applyFill="1" applyBorder="1" applyAlignment="1">
      <alignment vertical="center" wrapText="1"/>
    </xf>
    <xf numFmtId="0" fontId="9" fillId="14" borderId="30" xfId="0" applyFont="1" applyFill="1" applyBorder="1" applyAlignment="1">
      <alignment vertical="center" wrapText="1"/>
    </xf>
    <xf numFmtId="0" fontId="9" fillId="14" borderId="34" xfId="0" applyFont="1" applyFill="1" applyBorder="1" applyAlignment="1">
      <alignment vertical="center" wrapText="1"/>
    </xf>
    <xf numFmtId="0" fontId="9" fillId="14" borderId="33" xfId="0" applyFont="1" applyFill="1" applyBorder="1" applyAlignment="1">
      <alignment vertical="center" wrapText="1"/>
    </xf>
    <xf numFmtId="0" fontId="9" fillId="14" borderId="55" xfId="0" applyFont="1" applyFill="1" applyBorder="1" applyAlignment="1">
      <alignment vertical="center" wrapText="1"/>
    </xf>
    <xf numFmtId="0" fontId="9" fillId="14" borderId="32" xfId="0" applyFont="1" applyFill="1" applyBorder="1" applyAlignment="1">
      <alignment horizontal="center" vertical="center" wrapText="1"/>
    </xf>
    <xf numFmtId="0" fontId="9" fillId="14" borderId="23" xfId="0" applyFont="1" applyFill="1" applyBorder="1" applyAlignment="1">
      <alignment horizontal="center" vertical="center" wrapText="1"/>
    </xf>
    <xf numFmtId="0" fontId="9" fillId="14" borderId="31" xfId="0" applyFont="1" applyFill="1" applyBorder="1" applyAlignment="1">
      <alignment horizontal="center" vertical="center" wrapText="1"/>
    </xf>
    <xf numFmtId="0" fontId="9" fillId="14" borderId="22" xfId="0" applyFont="1" applyFill="1" applyBorder="1" applyAlignment="1">
      <alignment horizontal="center" vertical="center" wrapText="1"/>
    </xf>
    <xf numFmtId="0" fontId="9" fillId="14" borderId="3" xfId="0" applyFont="1" applyFill="1" applyBorder="1" applyAlignment="1">
      <alignment vertical="center" wrapText="1"/>
    </xf>
    <xf numFmtId="0" fontId="16" fillId="5" borderId="1" xfId="0" applyFont="1" applyFill="1" applyBorder="1" applyAlignment="1">
      <alignment horizontal="left" vertical="center" wrapText="1" readingOrder="1"/>
    </xf>
    <xf numFmtId="0" fontId="0" fillId="0" borderId="1" xfId="0" applyBorder="1" applyAlignment="1">
      <alignment horizontal="left" vertical="center"/>
    </xf>
    <xf numFmtId="0" fontId="16" fillId="5" borderId="1" xfId="0" applyFont="1" applyFill="1" applyBorder="1" applyAlignment="1">
      <alignment horizontal="center" vertical="center" readingOrder="1"/>
    </xf>
    <xf numFmtId="0" fontId="16" fillId="5" borderId="2" xfId="0" applyFont="1" applyFill="1" applyBorder="1" applyAlignment="1">
      <alignment vertical="center" readingOrder="1"/>
    </xf>
    <xf numFmtId="0" fontId="16" fillId="5" borderId="8" xfId="0" applyFont="1" applyFill="1" applyBorder="1" applyAlignment="1">
      <alignment vertical="center" readingOrder="1"/>
    </xf>
    <xf numFmtId="0" fontId="12" fillId="5" borderId="3" xfId="0" applyFont="1" applyFill="1" applyBorder="1" applyAlignment="1">
      <alignment vertical="center"/>
    </xf>
    <xf numFmtId="0" fontId="12" fillId="5" borderId="8" xfId="0" applyFont="1" applyFill="1" applyBorder="1" applyAlignment="1">
      <alignment horizontal="left" vertical="center" wrapText="1"/>
    </xf>
    <xf numFmtId="0" fontId="12" fillId="5" borderId="8" xfId="0" applyFont="1" applyFill="1" applyBorder="1" applyAlignment="1">
      <alignment horizontal="center" vertical="center" wrapText="1"/>
    </xf>
    <xf numFmtId="0" fontId="12" fillId="5" borderId="2" xfId="0" applyFont="1" applyFill="1" applyBorder="1" applyAlignment="1">
      <alignment horizontal="left" vertical="center" readingOrder="1"/>
    </xf>
    <xf numFmtId="0" fontId="12" fillId="5" borderId="8" xfId="0" applyFont="1" applyFill="1" applyBorder="1" applyAlignment="1">
      <alignment horizontal="left" vertical="center"/>
    </xf>
    <xf numFmtId="9" fontId="12" fillId="5" borderId="2" xfId="0" applyNumberFormat="1" applyFont="1" applyFill="1" applyBorder="1" applyAlignment="1">
      <alignment horizontal="center" vertical="center"/>
    </xf>
    <xf numFmtId="0" fontId="12" fillId="5" borderId="1" xfId="0" applyFont="1" applyFill="1" applyBorder="1" applyAlignment="1">
      <alignment vertical="center"/>
    </xf>
    <xf numFmtId="0" fontId="12" fillId="5" borderId="8" xfId="0" applyFont="1" applyFill="1" applyBorder="1" applyAlignment="1">
      <alignment horizontal="center" vertical="center"/>
    </xf>
    <xf numFmtId="0" fontId="12" fillId="5" borderId="1" xfId="0" applyFont="1" applyFill="1" applyBorder="1" applyAlignment="1">
      <alignment horizontal="left" vertical="center"/>
    </xf>
    <xf numFmtId="0" fontId="24" fillId="17" borderId="8" xfId="0" applyFont="1" applyFill="1" applyBorder="1" applyAlignment="1">
      <alignment vertical="center" wrapText="1" readingOrder="1"/>
    </xf>
    <xf numFmtId="0" fontId="24" fillId="17" borderId="3" xfId="0" applyFont="1" applyFill="1" applyBorder="1" applyAlignment="1">
      <alignment vertical="center" wrapText="1" readingOrder="1"/>
    </xf>
    <xf numFmtId="0" fontId="24" fillId="17" borderId="8" xfId="0" applyFont="1" applyFill="1" applyBorder="1" applyAlignment="1">
      <alignment horizontal="left" wrapText="1"/>
    </xf>
    <xf numFmtId="0" fontId="24" fillId="17" borderId="45" xfId="0" applyFont="1" applyFill="1" applyBorder="1" applyAlignment="1">
      <alignment horizontal="left" wrapText="1"/>
    </xf>
    <xf numFmtId="0" fontId="24" fillId="17" borderId="8" xfId="0" applyFont="1" applyFill="1" applyBorder="1" applyAlignment="1">
      <alignment horizontal="center" vertical="center"/>
    </xf>
    <xf numFmtId="0" fontId="24" fillId="17" borderId="45" xfId="0" applyFont="1" applyFill="1" applyBorder="1" applyAlignment="1">
      <alignment horizontal="center" vertical="center"/>
    </xf>
    <xf numFmtId="0" fontId="24" fillId="17" borderId="8" xfId="0" applyFont="1" applyFill="1" applyBorder="1" applyAlignment="1">
      <alignment horizontal="center" vertical="center" wrapText="1"/>
    </xf>
    <xf numFmtId="0" fontId="24" fillId="17" borderId="45" xfId="0" applyFont="1" applyFill="1" applyBorder="1" applyAlignment="1">
      <alignment horizontal="center" vertical="center" wrapText="1"/>
    </xf>
    <xf numFmtId="0" fontId="24" fillId="17" borderId="9" xfId="0" applyFont="1" applyFill="1" applyBorder="1" applyAlignment="1">
      <alignment horizontal="center"/>
    </xf>
    <xf numFmtId="0" fontId="24" fillId="17" borderId="45" xfId="0" applyFont="1" applyFill="1" applyBorder="1" applyAlignment="1">
      <alignment horizontal="center"/>
    </xf>
    <xf numFmtId="0" fontId="0" fillId="0" borderId="27" xfId="0" applyBorder="1" applyAlignment="1">
      <alignment horizontal="left"/>
    </xf>
    <xf numFmtId="0" fontId="0" fillId="0" borderId="10" xfId="0" applyBorder="1" applyAlignment="1">
      <alignment horizontal="left"/>
    </xf>
    <xf numFmtId="0" fontId="12" fillId="5" borderId="56" xfId="0" applyFont="1" applyFill="1" applyBorder="1" applyAlignment="1">
      <alignment horizontal="center" vertical="center"/>
    </xf>
    <xf numFmtId="0" fontId="12" fillId="5" borderId="56" xfId="0" applyFont="1" applyFill="1" applyBorder="1" applyAlignment="1">
      <alignment horizontal="center" vertical="center" wrapText="1"/>
    </xf>
    <xf numFmtId="0" fontId="41" fillId="5" borderId="56" xfId="0" applyFont="1" applyFill="1" applyBorder="1" applyAlignment="1">
      <alignment horizontal="center" vertical="center"/>
    </xf>
    <xf numFmtId="0" fontId="41" fillId="5" borderId="3" xfId="0" applyFont="1" applyFill="1" applyBorder="1" applyAlignment="1">
      <alignment horizontal="center" vertical="center"/>
    </xf>
    <xf numFmtId="0" fontId="28" fillId="17" borderId="8" xfId="0" applyFont="1" applyFill="1" applyBorder="1" applyAlignment="1">
      <alignment horizontal="center" vertical="center"/>
    </xf>
    <xf numFmtId="0" fontId="28" fillId="17" borderId="45" xfId="0" applyFont="1" applyFill="1" applyBorder="1" applyAlignment="1">
      <alignment horizontal="center" vertical="center"/>
    </xf>
    <xf numFmtId="16" fontId="12" fillId="5" borderId="8" xfId="0" applyNumberFormat="1" applyFont="1" applyFill="1" applyBorder="1" applyAlignment="1">
      <alignment horizontal="center" vertical="center" wrapText="1"/>
    </xf>
    <xf numFmtId="16" fontId="12" fillId="5" borderId="16" xfId="0" applyNumberFormat="1" applyFont="1" applyFill="1" applyBorder="1" applyAlignment="1">
      <alignment horizontal="center" vertical="center" wrapText="1"/>
    </xf>
    <xf numFmtId="16" fontId="12" fillId="5" borderId="18" xfId="0" applyNumberFormat="1" applyFont="1" applyFill="1" applyBorder="1" applyAlignment="1">
      <alignment horizontal="center" vertical="center" wrapText="1"/>
    </xf>
    <xf numFmtId="0" fontId="12" fillId="5" borderId="16" xfId="0" applyFont="1" applyFill="1" applyBorder="1" applyAlignment="1">
      <alignment horizontal="left" vertical="center" wrapText="1"/>
    </xf>
    <xf numFmtId="0" fontId="12" fillId="0" borderId="2" xfId="0" applyFont="1" applyBorder="1" applyAlignment="1">
      <alignment horizontal="left" vertical="center" wrapText="1"/>
    </xf>
    <xf numFmtId="9" fontId="12" fillId="0" borderId="2" xfId="0" applyNumberFormat="1"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6" fillId="5" borderId="3" xfId="0" applyFont="1" applyFill="1" applyBorder="1" applyAlignment="1">
      <alignment horizontal="left" vertical="center" wrapText="1" readingOrder="1"/>
    </xf>
    <xf numFmtId="9" fontId="12" fillId="5" borderId="3" xfId="0" applyNumberFormat="1" applyFont="1" applyFill="1" applyBorder="1" applyAlignment="1">
      <alignment horizontal="center" vertical="center" wrapText="1"/>
    </xf>
    <xf numFmtId="0" fontId="12" fillId="5" borderId="41" xfId="0" applyFont="1" applyFill="1" applyBorder="1" applyAlignment="1">
      <alignment horizontal="center" vertical="center" wrapText="1"/>
    </xf>
    <xf numFmtId="16" fontId="12" fillId="5" borderId="41" xfId="0" applyNumberFormat="1" applyFont="1" applyFill="1" applyBorder="1" applyAlignment="1">
      <alignment horizontal="center" vertical="center" wrapText="1"/>
    </xf>
    <xf numFmtId="0" fontId="15" fillId="5" borderId="71" xfId="0" applyFont="1" applyFill="1" applyBorder="1" applyAlignment="1">
      <alignment horizontal="center" vertical="center"/>
    </xf>
    <xf numFmtId="0" fontId="15" fillId="5" borderId="41" xfId="0" applyFont="1" applyFill="1"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vertical="center" wrapText="1"/>
    </xf>
    <xf numFmtId="0" fontId="12" fillId="5" borderId="61" xfId="0" applyFont="1" applyFill="1" applyBorder="1" applyAlignment="1">
      <alignment horizontal="left" vertical="center"/>
    </xf>
    <xf numFmtId="0" fontId="12" fillId="5" borderId="62" xfId="0" applyFont="1" applyFill="1" applyBorder="1" applyAlignment="1">
      <alignment horizontal="left" vertical="center"/>
    </xf>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xf>
    <xf numFmtId="0" fontId="0" fillId="0" borderId="8" xfId="0" applyBorder="1" applyAlignment="1">
      <alignment horizontal="center" vertical="center" wrapText="1"/>
    </xf>
    <xf numFmtId="9" fontId="12" fillId="5" borderId="3" xfId="0" applyNumberFormat="1" applyFont="1" applyFill="1" applyBorder="1" applyAlignment="1">
      <alignment horizontal="center" vertical="center"/>
    </xf>
    <xf numFmtId="0" fontId="12" fillId="5" borderId="26" xfId="0" applyFont="1" applyFill="1" applyBorder="1" applyAlignment="1">
      <alignment horizontal="center" vertical="center"/>
    </xf>
    <xf numFmtId="0" fontId="12" fillId="5" borderId="11" xfId="0" applyFont="1" applyFill="1" applyBorder="1" applyAlignment="1">
      <alignment horizontal="center" vertical="center"/>
    </xf>
    <xf numFmtId="16" fontId="12" fillId="5" borderId="72" xfId="0" applyNumberFormat="1" applyFont="1" applyFill="1" applyBorder="1" applyAlignment="1">
      <alignment horizontal="center" vertical="center" wrapText="1"/>
    </xf>
    <xf numFmtId="0" fontId="18" fillId="5" borderId="2" xfId="0" applyFont="1" applyFill="1" applyBorder="1" applyAlignment="1">
      <alignment horizontal="center" vertical="center"/>
    </xf>
    <xf numFmtId="0" fontId="18" fillId="5" borderId="3" xfId="0" applyFont="1" applyFill="1" applyBorder="1" applyAlignment="1">
      <alignment horizontal="center" vertical="center"/>
    </xf>
    <xf numFmtId="0" fontId="15" fillId="5" borderId="60" xfId="0" applyFont="1" applyFill="1" applyBorder="1" applyAlignment="1">
      <alignment horizontal="center" vertical="center"/>
    </xf>
    <xf numFmtId="0" fontId="12" fillId="5" borderId="56" xfId="0" applyFont="1" applyFill="1" applyBorder="1" applyAlignment="1">
      <alignment horizontal="left" vertical="center" wrapText="1"/>
    </xf>
    <xf numFmtId="0" fontId="14" fillId="9" borderId="0" xfId="0" applyFont="1" applyFill="1" applyAlignment="1">
      <alignment horizontal="left"/>
    </xf>
    <xf numFmtId="0" fontId="12" fillId="5" borderId="2" xfId="0" applyFont="1" applyFill="1" applyBorder="1" applyAlignment="1">
      <alignment vertical="center"/>
    </xf>
    <xf numFmtId="0" fontId="16" fillId="5" borderId="2" xfId="0" applyFont="1" applyFill="1" applyBorder="1" applyAlignment="1">
      <alignment vertical="center" wrapText="1" readingOrder="1"/>
    </xf>
    <xf numFmtId="0" fontId="16" fillId="5" borderId="3" xfId="0" applyFont="1" applyFill="1" applyBorder="1" applyAlignment="1">
      <alignment vertical="center" wrapText="1" readingOrder="1"/>
    </xf>
    <xf numFmtId="0" fontId="12" fillId="5" borderId="2" xfId="0" applyFont="1" applyFill="1" applyBorder="1" applyAlignment="1">
      <alignment vertical="center" wrapText="1"/>
    </xf>
    <xf numFmtId="0" fontId="12" fillId="5" borderId="3" xfId="0" applyFont="1" applyFill="1" applyBorder="1" applyAlignment="1">
      <alignment vertical="center" wrapText="1"/>
    </xf>
    <xf numFmtId="0" fontId="12" fillId="0" borderId="3" xfId="0" applyFont="1" applyBorder="1" applyAlignment="1">
      <alignment horizontal="left" vertical="center" wrapText="1"/>
    </xf>
    <xf numFmtId="0" fontId="16" fillId="5" borderId="2" xfId="0" applyFont="1" applyFill="1" applyBorder="1" applyAlignment="1">
      <alignment horizontal="center" vertical="center" wrapText="1" readingOrder="1"/>
    </xf>
    <xf numFmtId="0" fontId="0" fillId="0" borderId="1" xfId="0" applyBorder="1" applyAlignment="1">
      <alignment horizontal="left" vertical="center" wrapText="1"/>
    </xf>
    <xf numFmtId="0" fontId="0" fillId="0" borderId="1" xfId="0" applyBorder="1" applyAlignment="1">
      <alignment vertical="center" wrapText="1"/>
    </xf>
    <xf numFmtId="1" fontId="12" fillId="5" borderId="2" xfId="0" applyNumberFormat="1" applyFont="1" applyFill="1" applyBorder="1" applyAlignment="1">
      <alignment horizontal="center" vertical="center"/>
    </xf>
    <xf numFmtId="1" fontId="12" fillId="5" borderId="3" xfId="0" applyNumberFormat="1" applyFont="1" applyFill="1" applyBorder="1" applyAlignment="1">
      <alignment horizontal="center" vertical="center"/>
    </xf>
    <xf numFmtId="0" fontId="0" fillId="0" borderId="2" xfId="0" applyBorder="1" applyAlignment="1">
      <alignment horizontal="left" vertical="center" wrapText="1"/>
    </xf>
    <xf numFmtId="0" fontId="0" fillId="0" borderId="8" xfId="0" applyBorder="1" applyAlignment="1">
      <alignment horizontal="left" vertical="center" wrapText="1"/>
    </xf>
    <xf numFmtId="0" fontId="0" fillId="0" borderId="3" xfId="0" applyBorder="1" applyAlignment="1">
      <alignment horizontal="left" vertical="center" wrapText="1"/>
    </xf>
    <xf numFmtId="0" fontId="0" fillId="0" borderId="1" xfId="0" applyBorder="1" applyAlignment="1">
      <alignment horizontal="center" vertical="center"/>
    </xf>
    <xf numFmtId="0" fontId="9" fillId="0" borderId="22" xfId="0" applyFont="1" applyBorder="1" applyAlignment="1">
      <alignment horizontal="center"/>
    </xf>
    <xf numFmtId="0" fontId="9" fillId="0" borderId="54" xfId="0" applyFont="1" applyBorder="1" applyAlignment="1">
      <alignment horizontal="center"/>
    </xf>
    <xf numFmtId="0" fontId="9" fillId="0" borderId="23" xfId="0" applyFont="1" applyBorder="1" applyAlignment="1">
      <alignment horizontal="center"/>
    </xf>
    <xf numFmtId="0" fontId="0" fillId="0" borderId="46" xfId="0" applyBorder="1" applyAlignment="1">
      <alignment horizontal="left" vertical="center"/>
    </xf>
    <xf numFmtId="0" fontId="0" fillId="25" borderId="46" xfId="0" applyFill="1" applyBorder="1" applyAlignment="1">
      <alignment horizontal="left" vertical="center"/>
    </xf>
    <xf numFmtId="0" fontId="0" fillId="25" borderId="48" xfId="0" applyFill="1" applyBorder="1" applyAlignment="1">
      <alignment horizontal="left" vertical="center"/>
    </xf>
    <xf numFmtId="0" fontId="0" fillId="0" borderId="48" xfId="0" applyBorder="1" applyAlignment="1">
      <alignment horizontal="left" vertical="center"/>
    </xf>
    <xf numFmtId="0" fontId="9" fillId="0" borderId="59" xfId="0" applyFont="1" applyBorder="1" applyAlignment="1">
      <alignment horizontal="center"/>
    </xf>
    <xf numFmtId="0" fontId="9" fillId="0" borderId="34" xfId="0" applyFont="1" applyBorder="1" applyAlignment="1">
      <alignment horizontal="center"/>
    </xf>
    <xf numFmtId="0" fontId="18" fillId="5" borderId="2" xfId="0" applyFont="1" applyFill="1" applyBorder="1" applyAlignment="1">
      <alignment horizontal="left" vertical="center" readingOrder="1"/>
    </xf>
    <xf numFmtId="0" fontId="18" fillId="5" borderId="3" xfId="0" applyFont="1" applyFill="1" applyBorder="1" applyAlignment="1">
      <alignment horizontal="left" vertical="center" readingOrder="1"/>
    </xf>
    <xf numFmtId="0" fontId="18" fillId="5" borderId="2" xfId="0" applyFont="1" applyFill="1" applyBorder="1" applyAlignment="1">
      <alignment horizontal="left" vertical="center" wrapText="1"/>
    </xf>
    <xf numFmtId="0" fontId="18" fillId="5" borderId="3" xfId="0" applyFont="1" applyFill="1" applyBorder="1" applyAlignment="1">
      <alignment horizontal="left" vertical="center"/>
    </xf>
    <xf numFmtId="0" fontId="18" fillId="5" borderId="2" xfId="0" applyFont="1" applyFill="1" applyBorder="1" applyAlignment="1">
      <alignment horizontal="center" vertical="center" wrapText="1"/>
    </xf>
    <xf numFmtId="0" fontId="18" fillId="5" borderId="2" xfId="0" applyFont="1" applyFill="1" applyBorder="1" applyAlignment="1">
      <alignment vertical="center" wrapText="1" readingOrder="1"/>
    </xf>
    <xf numFmtId="0" fontId="18" fillId="5" borderId="3" xfId="0" applyFont="1" applyFill="1" applyBorder="1" applyAlignment="1">
      <alignment vertical="center" wrapText="1"/>
    </xf>
    <xf numFmtId="0" fontId="18" fillId="5" borderId="3" xfId="0" applyFont="1" applyFill="1" applyBorder="1" applyAlignment="1">
      <alignment vertical="center"/>
    </xf>
    <xf numFmtId="0" fontId="18" fillId="5" borderId="3" xfId="0" applyFont="1" applyFill="1" applyBorder="1" applyAlignment="1">
      <alignment horizontal="left" vertical="center" wrapText="1"/>
    </xf>
    <xf numFmtId="0" fontId="18" fillId="5" borderId="2" xfId="0" applyFont="1" applyFill="1" applyBorder="1" applyAlignment="1">
      <alignment horizontal="left" vertical="center" wrapText="1" readingOrder="1"/>
    </xf>
    <xf numFmtId="0" fontId="10" fillId="5" borderId="2" xfId="0" applyFont="1" applyFill="1" applyBorder="1" applyAlignment="1">
      <alignment horizontal="center" vertical="center"/>
    </xf>
    <xf numFmtId="0" fontId="10" fillId="5" borderId="3" xfId="0" applyFont="1" applyFill="1" applyBorder="1" applyAlignment="1">
      <alignment horizontal="center" vertical="center"/>
    </xf>
    <xf numFmtId="0" fontId="18" fillId="5" borderId="2" xfId="0" applyFont="1" applyFill="1" applyBorder="1" applyAlignment="1">
      <alignment vertical="center"/>
    </xf>
    <xf numFmtId="0" fontId="18" fillId="5" borderId="2" xfId="0" applyFont="1" applyFill="1" applyBorder="1" applyAlignment="1">
      <alignment vertical="center" wrapText="1"/>
    </xf>
    <xf numFmtId="0" fontId="22" fillId="5" borderId="2" xfId="0" applyFont="1" applyFill="1" applyBorder="1" applyAlignment="1">
      <alignment vertical="center" wrapText="1" readingOrder="1"/>
    </xf>
    <xf numFmtId="0" fontId="22" fillId="5" borderId="3" xfId="0" applyFont="1" applyFill="1" applyBorder="1" applyAlignment="1">
      <alignment vertical="center"/>
    </xf>
    <xf numFmtId="16" fontId="58" fillId="5" borderId="2" xfId="0" applyNumberFormat="1" applyFont="1" applyFill="1" applyBorder="1" applyAlignment="1">
      <alignment horizontal="center" vertical="center" wrapText="1"/>
    </xf>
    <xf numFmtId="16" fontId="30" fillId="5" borderId="2" xfId="0" applyNumberFormat="1" applyFont="1" applyFill="1" applyBorder="1" applyAlignment="1">
      <alignment horizontal="center" vertical="center" wrapText="1"/>
    </xf>
    <xf numFmtId="0" fontId="18" fillId="5" borderId="2" xfId="0" applyFont="1" applyFill="1" applyBorder="1" applyAlignment="1">
      <alignment horizontal="center" vertical="center" readingOrder="1"/>
    </xf>
    <xf numFmtId="0" fontId="18" fillId="5" borderId="3" xfId="0" applyFont="1" applyFill="1" applyBorder="1" applyAlignment="1">
      <alignment horizontal="center" vertical="center" readingOrder="1"/>
    </xf>
    <xf numFmtId="0" fontId="6" fillId="6" borderId="0" xfId="0" applyFont="1" applyFill="1" applyAlignment="1">
      <alignment horizontal="left" vertical="center"/>
    </xf>
    <xf numFmtId="9" fontId="18" fillId="5" borderId="2" xfId="0" applyNumberFormat="1" applyFont="1" applyFill="1" applyBorder="1" applyAlignment="1">
      <alignment horizontal="center" vertical="center"/>
    </xf>
    <xf numFmtId="168" fontId="12" fillId="5" borderId="2" xfId="0" applyNumberFormat="1" applyFont="1" applyFill="1" applyBorder="1" applyAlignment="1">
      <alignment horizontal="center" vertical="center"/>
    </xf>
    <xf numFmtId="0" fontId="16" fillId="5" borderId="27" xfId="0" applyFont="1" applyFill="1" applyBorder="1" applyAlignment="1">
      <alignment horizontal="left" vertical="center" wrapText="1" readingOrder="1"/>
    </xf>
    <xf numFmtId="0" fontId="12" fillId="5" borderId="2" xfId="0" applyFont="1" applyFill="1" applyBorder="1" applyAlignment="1">
      <alignment horizontal="left" vertical="center" wrapText="1" readingOrder="1"/>
    </xf>
    <xf numFmtId="0" fontId="14" fillId="9" borderId="0" xfId="0" applyFont="1" applyFill="1" applyAlignment="1">
      <alignment horizontal="center" vertical="center"/>
    </xf>
    <xf numFmtId="0" fontId="13" fillId="7" borderId="19" xfId="0" applyFont="1" applyFill="1" applyBorder="1" applyAlignment="1">
      <alignment horizontal="center" vertical="center"/>
    </xf>
    <xf numFmtId="16" fontId="12" fillId="5" borderId="12" xfId="0" applyNumberFormat="1" applyFont="1" applyFill="1" applyBorder="1" applyAlignment="1">
      <alignment horizontal="left" vertical="center" wrapText="1"/>
    </xf>
    <xf numFmtId="0" fontId="12" fillId="5" borderId="2" xfId="0" quotePrefix="1" applyFont="1" applyFill="1" applyBorder="1" applyAlignment="1">
      <alignment horizontal="left" vertical="center" wrapText="1"/>
    </xf>
    <xf numFmtId="0" fontId="0" fillId="0" borderId="2" xfId="0" applyBorder="1" applyAlignment="1">
      <alignment horizontal="center" vertical="center" wrapText="1"/>
    </xf>
    <xf numFmtId="16" fontId="46" fillId="5" borderId="2" xfId="0" applyNumberFormat="1" applyFont="1" applyFill="1" applyBorder="1" applyAlignment="1">
      <alignment horizontal="center" vertical="center" wrapText="1"/>
    </xf>
    <xf numFmtId="0" fontId="0" fillId="0" borderId="2" xfId="0" applyBorder="1" applyAlignment="1">
      <alignment vertical="center" wrapText="1"/>
    </xf>
    <xf numFmtId="16" fontId="12" fillId="5" borderId="1" xfId="0" applyNumberFormat="1" applyFont="1" applyFill="1" applyBorder="1" applyAlignment="1">
      <alignment horizontal="center" vertical="center" wrapText="1"/>
    </xf>
    <xf numFmtId="0" fontId="15" fillId="5" borderId="1" xfId="0" applyFont="1" applyFill="1" applyBorder="1" applyAlignment="1">
      <alignment horizontal="center" vertical="center"/>
    </xf>
    <xf numFmtId="16" fontId="12" fillId="5" borderId="1" xfId="0" applyNumberFormat="1" applyFont="1" applyFill="1" applyBorder="1" applyAlignment="1">
      <alignment horizontal="left" vertical="center" wrapText="1"/>
    </xf>
    <xf numFmtId="0" fontId="12" fillId="5" borderId="1" xfId="0" quotePrefix="1" applyFont="1" applyFill="1" applyBorder="1" applyAlignment="1">
      <alignment vertical="center" wrapText="1"/>
    </xf>
    <xf numFmtId="0" fontId="16" fillId="5" borderId="1" xfId="0" quotePrefix="1" applyFont="1" applyFill="1" applyBorder="1" applyAlignment="1">
      <alignment horizontal="center" vertical="center" wrapText="1"/>
    </xf>
    <xf numFmtId="0" fontId="12" fillId="5" borderId="1" xfId="0" quotePrefix="1" applyFont="1" applyFill="1" applyBorder="1" applyAlignment="1">
      <alignment horizontal="center" vertical="center" wrapText="1"/>
    </xf>
    <xf numFmtId="0" fontId="12" fillId="5" borderId="1" xfId="0" applyFont="1" applyFill="1" applyBorder="1" applyAlignment="1">
      <alignment vertical="center" wrapText="1"/>
    </xf>
    <xf numFmtId="0" fontId="12" fillId="5" borderId="1" xfId="0" applyFont="1" applyFill="1" applyBorder="1" applyAlignment="1">
      <alignment horizontal="left" vertical="center" wrapText="1"/>
    </xf>
    <xf numFmtId="0" fontId="12" fillId="5" borderId="1" xfId="0" applyFont="1" applyFill="1" applyBorder="1" applyAlignment="1">
      <alignment horizontal="center" vertical="center" wrapText="1"/>
    </xf>
    <xf numFmtId="0" fontId="47" fillId="5" borderId="1" xfId="0" applyFont="1" applyFill="1" applyBorder="1" applyAlignment="1">
      <alignment horizontal="left" vertical="center" wrapText="1"/>
    </xf>
    <xf numFmtId="0" fontId="0" fillId="0" borderId="22" xfId="0" applyBorder="1" applyAlignment="1">
      <alignment horizontal="center" vertical="center"/>
    </xf>
    <xf numFmtId="0" fontId="0" fillId="0" borderId="23" xfId="0" applyBorder="1" applyAlignment="1">
      <alignment horizontal="center" vertical="center"/>
    </xf>
    <xf numFmtId="16" fontId="12" fillId="5" borderId="14" xfId="0" applyNumberFormat="1" applyFont="1" applyFill="1" applyBorder="1" applyAlignment="1">
      <alignment horizontal="left" vertical="center" wrapText="1"/>
    </xf>
    <xf numFmtId="0" fontId="24" fillId="28" borderId="12" xfId="0" applyFont="1" applyFill="1" applyBorder="1" applyAlignment="1">
      <alignment wrapText="1"/>
    </xf>
    <xf numFmtId="0" fontId="24" fillId="28" borderId="18" xfId="0" applyFont="1" applyFill="1" applyBorder="1" applyAlignment="1">
      <alignment wrapText="1"/>
    </xf>
    <xf numFmtId="0" fontId="24" fillId="28" borderId="2" xfId="0" applyFont="1" applyFill="1" applyBorder="1" applyAlignment="1">
      <alignment wrapText="1"/>
    </xf>
    <xf numFmtId="0" fontId="24" fillId="28" borderId="8" xfId="0" applyFont="1" applyFill="1" applyBorder="1" applyAlignment="1">
      <alignment wrapText="1"/>
    </xf>
    <xf numFmtId="0" fontId="24" fillId="28" borderId="2" xfId="0" applyFont="1" applyFill="1" applyBorder="1" applyAlignment="1">
      <alignment horizontal="center" wrapText="1"/>
    </xf>
    <xf numFmtId="0" fontId="24" fillId="28" borderId="8" xfId="0" applyFont="1" applyFill="1" applyBorder="1" applyAlignment="1">
      <alignment horizontal="center" wrapText="1"/>
    </xf>
    <xf numFmtId="0" fontId="24" fillId="17" borderId="12" xfId="0" applyFont="1" applyFill="1" applyBorder="1" applyAlignment="1">
      <alignment wrapText="1"/>
    </xf>
    <xf numFmtId="0" fontId="24" fillId="17" borderId="66" xfId="0" applyFont="1" applyFill="1" applyBorder="1" applyAlignment="1">
      <alignment wrapText="1"/>
    </xf>
    <xf numFmtId="0" fontId="24" fillId="17" borderId="18" xfId="0" applyFont="1" applyFill="1" applyBorder="1" applyAlignment="1">
      <alignment wrapText="1"/>
    </xf>
    <xf numFmtId="0" fontId="24" fillId="17" borderId="8" xfId="0" applyFont="1" applyFill="1" applyBorder="1" applyAlignment="1">
      <alignment wrapText="1"/>
    </xf>
    <xf numFmtId="0" fontId="24" fillId="17" borderId="45" xfId="0" applyFont="1" applyFill="1" applyBorder="1" applyAlignment="1">
      <alignment wrapText="1"/>
    </xf>
    <xf numFmtId="0" fontId="24" fillId="17" borderId="8" xfId="0" quotePrefix="1" applyFont="1" applyFill="1" applyBorder="1" applyAlignment="1">
      <alignment horizontal="center" wrapText="1"/>
    </xf>
    <xf numFmtId="0" fontId="24" fillId="17" borderId="45" xfId="0" applyFont="1" applyFill="1" applyBorder="1" applyAlignment="1">
      <alignment horizontal="center" wrapText="1"/>
    </xf>
    <xf numFmtId="0" fontId="24" fillId="17" borderId="8" xfId="0" applyFont="1" applyFill="1" applyBorder="1" applyAlignment="1">
      <alignment horizontal="center" wrapText="1"/>
    </xf>
    <xf numFmtId="0" fontId="35" fillId="10" borderId="5" xfId="0" applyFont="1" applyFill="1" applyBorder="1" applyAlignment="1">
      <alignment wrapText="1"/>
    </xf>
    <xf numFmtId="0" fontId="35" fillId="10" borderId="6" xfId="0" applyFont="1" applyFill="1" applyBorder="1" applyAlignment="1">
      <alignment wrapText="1"/>
    </xf>
    <xf numFmtId="0" fontId="24" fillId="17" borderId="8" xfId="0" applyFont="1" applyFill="1" applyBorder="1" applyAlignment="1">
      <alignment readingOrder="1"/>
    </xf>
    <xf numFmtId="0" fontId="24" fillId="17" borderId="45" xfId="0" applyFont="1" applyFill="1" applyBorder="1" applyAlignment="1">
      <alignment readingOrder="1"/>
    </xf>
    <xf numFmtId="0" fontId="24" fillId="17" borderId="8" xfId="0" applyFont="1" applyFill="1" applyBorder="1" applyAlignment="1">
      <alignment horizontal="center"/>
    </xf>
    <xf numFmtId="0" fontId="24" fillId="0" borderId="8" xfId="0" applyFont="1" applyBorder="1" applyAlignment="1">
      <alignment horizontal="center" wrapText="1"/>
    </xf>
    <xf numFmtId="0" fontId="24" fillId="0" borderId="45" xfId="0" applyFont="1" applyBorder="1" applyAlignment="1">
      <alignment horizontal="center" wrapText="1"/>
    </xf>
    <xf numFmtId="9" fontId="24" fillId="0" borderId="8" xfId="0" applyNumberFormat="1" applyFont="1" applyBorder="1" applyAlignment="1">
      <alignment horizontal="center" wrapText="1"/>
    </xf>
    <xf numFmtId="9" fontId="24" fillId="17" borderId="8" xfId="0" applyNumberFormat="1" applyFont="1" applyFill="1" applyBorder="1" applyAlignment="1">
      <alignment horizontal="center"/>
    </xf>
    <xf numFmtId="0" fontId="24" fillId="17" borderId="8" xfId="0" applyFont="1" applyFill="1" applyBorder="1" applyAlignment="1">
      <alignment wrapText="1" readingOrder="1"/>
    </xf>
    <xf numFmtId="0" fontId="24" fillId="17" borderId="45" xfId="0" applyFont="1" applyFill="1" applyBorder="1" applyAlignment="1">
      <alignment wrapText="1" readingOrder="1"/>
    </xf>
    <xf numFmtId="0" fontId="16" fillId="14" borderId="2" xfId="0" applyFont="1" applyFill="1" applyBorder="1" applyAlignment="1">
      <alignment vertical="center" readingOrder="1"/>
    </xf>
    <xf numFmtId="0" fontId="16" fillId="14" borderId="3" xfId="0" applyFont="1" applyFill="1" applyBorder="1" applyAlignment="1">
      <alignment vertical="center" readingOrder="1"/>
    </xf>
    <xf numFmtId="0" fontId="16" fillId="14" borderId="26" xfId="0" applyFont="1" applyFill="1" applyBorder="1" applyAlignment="1">
      <alignment vertical="center" readingOrder="1"/>
    </xf>
    <xf numFmtId="0" fontId="0" fillId="14" borderId="11" xfId="0" applyFill="1" applyBorder="1" applyAlignment="1">
      <alignment vertical="center"/>
    </xf>
    <xf numFmtId="0" fontId="12" fillId="14" borderId="11" xfId="0" applyFont="1" applyFill="1" applyBorder="1" applyAlignment="1">
      <alignment vertical="center"/>
    </xf>
    <xf numFmtId="0" fontId="16" fillId="35" borderId="2" xfId="0" applyFont="1" applyFill="1" applyBorder="1" applyAlignment="1">
      <alignment horizontal="center" vertical="center" readingOrder="1"/>
    </xf>
    <xf numFmtId="0" fontId="16" fillId="35" borderId="3" xfId="0" applyFont="1" applyFill="1" applyBorder="1" applyAlignment="1">
      <alignment horizontal="center" vertical="center" readingOrder="1"/>
    </xf>
    <xf numFmtId="0" fontId="16" fillId="32" borderId="2" xfId="0" applyFont="1" applyFill="1" applyBorder="1" applyAlignment="1">
      <alignment horizontal="center" vertical="center" readingOrder="1"/>
    </xf>
    <xf numFmtId="0" fontId="16" fillId="32" borderId="3" xfId="0" applyFont="1" applyFill="1" applyBorder="1" applyAlignment="1">
      <alignment horizontal="center" vertical="center" readingOrder="1"/>
    </xf>
    <xf numFmtId="0" fontId="16" fillId="35" borderId="2" xfId="0" applyFont="1" applyFill="1" applyBorder="1" applyAlignment="1">
      <alignment horizontal="center" vertical="top" indent="1" readingOrder="1"/>
    </xf>
    <xf numFmtId="0" fontId="12" fillId="35" borderId="3" xfId="0" applyFont="1" applyFill="1" applyBorder="1" applyAlignment="1">
      <alignment horizontal="center" vertical="top" indent="1"/>
    </xf>
    <xf numFmtId="1" fontId="12" fillId="5" borderId="2" xfId="0" applyNumberFormat="1" applyFont="1" applyFill="1" applyBorder="1" applyAlignment="1">
      <alignment horizontal="center" vertical="center" wrapText="1"/>
    </xf>
    <xf numFmtId="167" fontId="12" fillId="5" borderId="2" xfId="0" applyNumberFormat="1" applyFont="1" applyFill="1" applyBorder="1" applyAlignment="1">
      <alignment horizontal="center" vertical="center"/>
    </xf>
    <xf numFmtId="167" fontId="12" fillId="5" borderId="3"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3" fillId="0" borderId="3" xfId="0" applyFont="1" applyBorder="1" applyAlignment="1">
      <alignment horizontal="center" vertical="center"/>
    </xf>
    <xf numFmtId="0" fontId="3" fillId="3" borderId="2" xfId="0" applyFont="1" applyFill="1" applyBorder="1" applyAlignment="1">
      <alignment horizontal="center" wrapText="1"/>
    </xf>
    <xf numFmtId="0" fontId="3" fillId="3" borderId="3" xfId="0" applyFont="1" applyFill="1" applyBorder="1" applyAlignment="1">
      <alignment horizontal="center" wrapText="1"/>
    </xf>
    <xf numFmtId="0" fontId="3" fillId="3" borderId="2" xfId="0" applyFont="1" applyFill="1" applyBorder="1" applyAlignment="1">
      <alignment horizontal="center" vertical="center"/>
    </xf>
    <xf numFmtId="0" fontId="3" fillId="3" borderId="2" xfId="0" applyFont="1" applyFill="1" applyBorder="1" applyAlignment="1">
      <alignment horizontal="left"/>
    </xf>
    <xf numFmtId="0" fontId="3" fillId="0" borderId="3" xfId="0" applyFont="1" applyBorder="1" applyAlignment="1">
      <alignment horizontal="left"/>
    </xf>
    <xf numFmtId="0" fontId="3" fillId="3" borderId="2" xfId="0" applyFont="1" applyFill="1" applyBorder="1" applyAlignment="1">
      <alignment wrapText="1"/>
    </xf>
    <xf numFmtId="9" fontId="3" fillId="3" borderId="2" xfId="0" applyNumberFormat="1" applyFont="1" applyFill="1" applyBorder="1" applyAlignment="1">
      <alignment horizontal="left" wrapText="1"/>
    </xf>
    <xf numFmtId="0" fontId="0" fillId="0" borderId="0" xfId="0" applyAlignment="1">
      <alignment horizontal="center"/>
    </xf>
    <xf numFmtId="0" fontId="0" fillId="0" borderId="27" xfId="0" applyBorder="1" applyAlignment="1"/>
    <xf numFmtId="0" fontId="0" fillId="0" borderId="10" xfId="0" applyBorder="1" applyAlignment="1"/>
    <xf numFmtId="0" fontId="33" fillId="16" borderId="0" xfId="0" applyFont="1" applyFill="1" applyAlignment="1"/>
    <xf numFmtId="0" fontId="24" fillId="17" borderId="8" xfId="0" applyFont="1" applyFill="1" applyBorder="1" applyAlignment="1"/>
    <xf numFmtId="0" fontId="24" fillId="17" borderId="45" xfId="0" applyFont="1" applyFill="1" applyBorder="1" applyAlignment="1"/>
    <xf numFmtId="0" fontId="36" fillId="29" borderId="0" xfId="0" applyFont="1" applyFill="1" applyAlignment="1"/>
    <xf numFmtId="0" fontId="35" fillId="10" borderId="4" xfId="0" applyFont="1" applyFill="1" applyBorder="1" applyAlignment="1"/>
    <xf numFmtId="0" fontId="35" fillId="10" borderId="63" xfId="0" applyFont="1" applyFill="1" applyBorder="1" applyAlignment="1"/>
    <xf numFmtId="0" fontId="35" fillId="10" borderId="44" xfId="0" applyFont="1" applyFill="1" applyBorder="1" applyAlignment="1"/>
    <xf numFmtId="0" fontId="37" fillId="30" borderId="19" xfId="0" applyFont="1" applyFill="1" applyBorder="1" applyAlignment="1"/>
    <xf numFmtId="0" fontId="37" fillId="30" borderId="20" xfId="0" applyFont="1" applyFill="1" applyBorder="1" applyAlignment="1"/>
    <xf numFmtId="0" fontId="37" fillId="30" borderId="64" xfId="0" applyFont="1" applyFill="1" applyBorder="1" applyAlignment="1"/>
    <xf numFmtId="0" fontId="38" fillId="17" borderId="60" xfId="0" applyFont="1" applyFill="1" applyBorder="1" applyAlignment="1"/>
    <xf numFmtId="0" fontId="24" fillId="0" borderId="2" xfId="0" applyFont="1" applyBorder="1" applyAlignment="1"/>
    <xf numFmtId="0" fontId="25" fillId="31" borderId="2" xfId="0" applyFont="1" applyFill="1" applyBorder="1" applyAlignment="1"/>
    <xf numFmtId="0" fontId="24" fillId="28" borderId="2" xfId="0" applyFont="1" applyFill="1" applyBorder="1" applyAlignment="1"/>
    <xf numFmtId="0" fontId="24" fillId="28" borderId="13" xfId="0" applyFont="1" applyFill="1" applyBorder="1" applyAlignment="1"/>
    <xf numFmtId="0" fontId="38" fillId="17" borderId="67" xfId="0" applyFont="1" applyFill="1" applyBorder="1" applyAlignment="1"/>
    <xf numFmtId="0" fontId="24" fillId="0" borderId="45" xfId="0" applyFont="1" applyBorder="1" applyAlignment="1"/>
    <xf numFmtId="0" fontId="25" fillId="31" borderId="8" xfId="0" applyFont="1" applyFill="1" applyBorder="1" applyAlignment="1"/>
    <xf numFmtId="0" fontId="24" fillId="28" borderId="8" xfId="0" applyFont="1" applyFill="1" applyBorder="1" applyAlignment="1"/>
    <xf numFmtId="0" fontId="24" fillId="28" borderId="60" xfId="0" applyFont="1" applyFill="1" applyBorder="1" applyAlignment="1"/>
    <xf numFmtId="0" fontId="23" fillId="0" borderId="22" xfId="0" applyFont="1" applyBorder="1" applyAlignment="1"/>
    <xf numFmtId="0" fontId="23" fillId="0" borderId="68" xfId="0" applyFont="1" applyBorder="1" applyAlignment="1"/>
    <xf numFmtId="0" fontId="23" fillId="0" borderId="0" xfId="0" applyFont="1" applyAlignment="1"/>
    <xf numFmtId="0" fontId="3" fillId="0" borderId="3" xfId="0" applyFont="1" applyBorder="1" applyAlignment="1"/>
  </cellXfs>
  <cellStyles count="11">
    <cellStyle name="20% - Accent3 2" xfId="4" xr:uid="{2C7318F4-61C4-49E5-B1F3-1E78C91221CD}"/>
    <cellStyle name="Comma 2" xfId="5" xr:uid="{631AFB7C-D5AD-4382-9278-C3B2F0CFA8DD}"/>
    <cellStyle name="Currency 2" xfId="6" xr:uid="{CD38E21A-3A12-4379-B6A6-4F800C04FCF0}"/>
    <cellStyle name="Currency 3" xfId="10" xr:uid="{D78A27B4-20B9-4E95-BFC3-8FDB1EE53F1F}"/>
    <cellStyle name="Normal" xfId="0" builtinId="0"/>
    <cellStyle name="Normal 2" xfId="3" xr:uid="{3C8536B7-1C93-4C2A-AFE3-64A28C825650}"/>
    <cellStyle name="Normal 3" xfId="7" xr:uid="{FB17DC66-D132-4B05-9387-BEB786780753}"/>
    <cellStyle name="Normal 3 2" xfId="8" xr:uid="{89F97DCA-F43C-4AF8-B141-7E1EB6B2C24A}"/>
    <cellStyle name="Normal 49" xfId="9" xr:uid="{C6F84231-7F0C-41FC-976A-EA33BC342D29}"/>
    <cellStyle name="Normal_lab ldo cm jan 05" xfId="2" xr:uid="{58731961-6D01-4902-A76C-605C7EB2FFF5}"/>
    <cellStyle name="Percent" xfId="1" builtinId="5"/>
  </cellStyles>
  <dxfs count="689">
    <dxf>
      <fill>
        <patternFill>
          <bgColor rgb="FFDA9694"/>
        </patternFill>
      </fill>
    </dxf>
    <dxf>
      <fill>
        <patternFill>
          <bgColor rgb="FF92D050"/>
        </patternFill>
      </fill>
    </dxf>
    <dxf>
      <fill>
        <patternFill>
          <bgColor theme="0"/>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FDEDDF"/>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ill>
        <patternFill>
          <bgColor rgb="FFFDEDDF"/>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ont>
        <color theme="1"/>
      </font>
      <fill>
        <patternFill patternType="solid">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FDEDDF"/>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FDEDDF"/>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FDEDDF"/>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FDEDDF"/>
        </patternFill>
      </fill>
    </dxf>
    <dxf>
      <fill>
        <patternFill>
          <bgColor rgb="FFFDEDDF"/>
        </patternFill>
      </fill>
    </dxf>
    <dxf>
      <fill>
        <patternFill>
          <bgColor rgb="FFFDEDDF"/>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color theme="0"/>
      </font>
      <fill>
        <patternFill>
          <bgColor rgb="FFFF0000"/>
        </patternFill>
      </fill>
    </dxf>
    <dxf>
      <font>
        <b/>
        <i val="0"/>
      </font>
      <fill>
        <patternFill>
          <bgColor theme="9"/>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FDEDDF"/>
        </patternFill>
      </fill>
    </dxf>
    <dxf>
      <fill>
        <patternFill>
          <bgColor rgb="FFFDEDDF"/>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DA9694"/>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FDEDDF"/>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ont>
        <b/>
        <i val="0"/>
        <color theme="0"/>
      </font>
      <fill>
        <patternFill>
          <bgColor rgb="FFFF0000"/>
        </patternFill>
      </fill>
    </dxf>
    <dxf>
      <font>
        <b/>
        <i val="0"/>
      </font>
      <fill>
        <patternFill>
          <bgColor theme="9"/>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ont>
        <color rgb="FF9C0006"/>
      </font>
      <fill>
        <patternFill>
          <bgColor rgb="FFFFC7CE"/>
        </patternFill>
      </fill>
    </dxf>
    <dxf>
      <fill>
        <patternFill>
          <bgColor rgb="FFFDEDDF"/>
        </patternFill>
      </fill>
    </dxf>
    <dxf>
      <fill>
        <patternFill>
          <bgColor rgb="FFFDEDDF"/>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ill>
        <patternFill>
          <bgColor rgb="FFDA9694"/>
        </patternFill>
      </fill>
    </dxf>
    <dxf>
      <fill>
        <patternFill>
          <bgColor rgb="FF92D050"/>
        </patternFill>
      </fill>
    </dxf>
    <dxf>
      <fill>
        <patternFill>
          <bgColor rgb="FF92D050"/>
        </patternFill>
      </fill>
    </dxf>
    <dxf>
      <fill>
        <patternFill>
          <bgColor rgb="FFFDEDDF"/>
        </patternFill>
      </fill>
    </dxf>
    <dxf>
      <fill>
        <patternFill>
          <bgColor rgb="FF92D050"/>
        </patternFill>
      </fill>
    </dxf>
    <dxf>
      <fill>
        <patternFill>
          <bgColor rgb="FFDA9694"/>
        </patternFill>
      </fill>
    </dxf>
    <dxf>
      <fill>
        <patternFill>
          <bgColor rgb="FFFDEDDF"/>
        </patternFill>
      </fill>
    </dxf>
    <dxf>
      <fill>
        <patternFill>
          <bgColor rgb="FFFDEDDF"/>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color theme="0"/>
      </font>
      <fill>
        <patternFill>
          <bgColor rgb="FFFF0000"/>
        </patternFill>
      </fill>
    </dxf>
    <dxf>
      <font>
        <b/>
        <i val="0"/>
      </font>
      <fill>
        <patternFill>
          <bgColor theme="9"/>
        </patternFill>
      </fill>
    </dxf>
    <dxf>
      <fill>
        <patternFill>
          <bgColor rgb="FFFDEDDF"/>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92D050"/>
        </patternFill>
      </fill>
    </dxf>
    <dxf>
      <fill>
        <patternFill>
          <bgColor rgb="FFFDEDDF"/>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FDEDDF"/>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DA9694"/>
        </patternFill>
      </fill>
    </dxf>
    <dxf>
      <fill>
        <patternFill>
          <bgColor rgb="FFDA9694"/>
        </patternFill>
      </fill>
    </dxf>
    <dxf>
      <fill>
        <patternFill>
          <bgColor rgb="FF92D050"/>
        </patternFill>
      </fill>
    </dxf>
    <dxf>
      <fill>
        <patternFill>
          <bgColor rgb="FF92D050"/>
        </patternFill>
      </fill>
    </dxf>
    <dxf>
      <font>
        <b/>
        <i val="0"/>
      </font>
      <fill>
        <patternFill>
          <bgColor theme="9"/>
        </patternFill>
      </fill>
    </dxf>
    <dxf>
      <font>
        <b/>
        <i val="0"/>
        <color theme="0"/>
      </font>
      <fill>
        <patternFill>
          <bgColor rgb="FFFF000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ont>
        <strike val="0"/>
      </font>
      <fill>
        <patternFill>
          <bgColor rgb="FFFF0000"/>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ill>
        <patternFill patternType="solid">
          <bgColor rgb="FFFF7C80"/>
        </patternFill>
      </fill>
    </dxf>
    <dxf>
      <fill>
        <patternFill patternType="solid">
          <bgColor rgb="FF92D050"/>
        </patternFill>
      </fill>
    </dxf>
    <dxf>
      <fill>
        <patternFill>
          <bgColor theme="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99E7A2"/>
        </patternFill>
      </fill>
    </dxf>
    <dxf>
      <fill>
        <patternFill>
          <bgColor rgb="FFFF6969"/>
        </patternFill>
      </fill>
    </dxf>
    <dxf>
      <fill>
        <patternFill>
          <bgColor rgb="FFFDEDDF"/>
        </patternFill>
      </fill>
    </dxf>
    <dxf>
      <fill>
        <patternFill>
          <bgColor rgb="FFFDEDDF"/>
        </patternFill>
      </fill>
    </dxf>
    <dxf>
      <fill>
        <patternFill>
          <bgColor rgb="FFFDEDDF"/>
        </patternFill>
      </fill>
    </dxf>
  </dxfs>
  <tableStyles count="1" defaultTableStyle="TableStyleMedium2" defaultPivotStyle="PivotStyleLight16">
    <tableStyle name="Invisible" pivot="0" table="0" count="0" xr9:uid="{B3C18DBC-9D7D-4FD4-A1A9-FC1BF8B22894}"/>
  </tableStyles>
  <colors>
    <mruColors>
      <color rgb="FFDA9694"/>
      <color rgb="FFFDEDDF"/>
      <color rgb="FF1F497D"/>
      <color rgb="FF4BACC6"/>
      <color rgb="FFFFFFCC"/>
      <color rgb="FFFACFA8"/>
      <color rgb="FFFFD13F"/>
      <color rgb="FFFF3B3B"/>
      <color rgb="FFFF5D5D"/>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1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1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1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1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17.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18.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19.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20.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21.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2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2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2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25.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26.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27.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28.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29.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30.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31.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32.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33.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34.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35.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36.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37.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38.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39.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40.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41.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42.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43.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44.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45.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46.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47.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48.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49.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50.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51.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52.xml.rels><?xml version="1.0" encoding="UTF-8" standalone="yes"?>
<Relationships xmlns="http://schemas.openxmlformats.org/package/2006/relationships"><Relationship Id="rId2" Type="http://schemas.microsoft.com/office/2011/relationships/chartColorStyle" Target="colors115.xml"/><Relationship Id="rId1" Type="http://schemas.microsoft.com/office/2011/relationships/chartStyle" Target="style115.xml"/></Relationships>
</file>

<file path=xl/charts/_rels/chart53.xml.rels><?xml version="1.0" encoding="UTF-8" standalone="yes"?>
<Relationships xmlns="http://schemas.openxmlformats.org/package/2006/relationships"><Relationship Id="rId2" Type="http://schemas.microsoft.com/office/2011/relationships/chartColorStyle" Target="colors116.xml"/><Relationship Id="rId1" Type="http://schemas.microsoft.com/office/2011/relationships/chartStyle" Target="style116.xml"/></Relationships>
</file>

<file path=xl/charts/_rels/chart54.xml.rels><?xml version="1.0" encoding="UTF-8" standalone="yes"?>
<Relationships xmlns="http://schemas.openxmlformats.org/package/2006/relationships"><Relationship Id="rId2" Type="http://schemas.microsoft.com/office/2011/relationships/chartColorStyle" Target="colors117.xml"/><Relationship Id="rId1" Type="http://schemas.microsoft.com/office/2011/relationships/chartStyle" Target="style117.xml"/></Relationships>
</file>

<file path=xl/charts/_rels/chart55.xml.rels><?xml version="1.0" encoding="UTF-8" standalone="yes"?>
<Relationships xmlns="http://schemas.openxmlformats.org/package/2006/relationships"><Relationship Id="rId2" Type="http://schemas.microsoft.com/office/2011/relationships/chartColorStyle" Target="colors118.xml"/><Relationship Id="rId1" Type="http://schemas.microsoft.com/office/2011/relationships/chartStyle" Target="style118.xml"/></Relationships>
</file>

<file path=xl/charts/_rels/chart56.xml.rels><?xml version="1.0" encoding="UTF-8" standalone="yes"?>
<Relationships xmlns="http://schemas.openxmlformats.org/package/2006/relationships"><Relationship Id="rId2" Type="http://schemas.microsoft.com/office/2011/relationships/chartColorStyle" Target="colors119.xml"/><Relationship Id="rId1" Type="http://schemas.microsoft.com/office/2011/relationships/chartStyle" Target="style119.xml"/></Relationships>
</file>

<file path=xl/charts/_rels/chart57.xml.rels><?xml version="1.0" encoding="UTF-8" standalone="yes"?>
<Relationships xmlns="http://schemas.openxmlformats.org/package/2006/relationships"><Relationship Id="rId2" Type="http://schemas.microsoft.com/office/2011/relationships/chartColorStyle" Target="colors120.xml"/><Relationship Id="rId1" Type="http://schemas.microsoft.com/office/2011/relationships/chartStyle" Target="style120.xml"/></Relationships>
</file>

<file path=xl/charts/_rels/chart58.xml.rels><?xml version="1.0" encoding="UTF-8" standalone="yes"?>
<Relationships xmlns="http://schemas.openxmlformats.org/package/2006/relationships"><Relationship Id="rId2" Type="http://schemas.microsoft.com/office/2011/relationships/chartColorStyle" Target="colors127.xml"/><Relationship Id="rId1" Type="http://schemas.microsoft.com/office/2011/relationships/chartStyle" Target="style127.xml"/></Relationships>
</file>

<file path=xl/charts/_rels/chart59.xml.rels><?xml version="1.0" encoding="UTF-8" standalone="yes"?>
<Relationships xmlns="http://schemas.openxmlformats.org/package/2006/relationships"><Relationship Id="rId2" Type="http://schemas.microsoft.com/office/2011/relationships/chartColorStyle" Target="colors128.xml"/><Relationship Id="rId1" Type="http://schemas.microsoft.com/office/2011/relationships/chartStyle" Target="style128.xml"/></Relationships>
</file>

<file path=xl/charts/_rels/chart60.xml.rels><?xml version="1.0" encoding="UTF-8" standalone="yes"?>
<Relationships xmlns="http://schemas.openxmlformats.org/package/2006/relationships"><Relationship Id="rId2" Type="http://schemas.microsoft.com/office/2011/relationships/chartColorStyle" Target="colors129.xml"/><Relationship Id="rId1" Type="http://schemas.microsoft.com/office/2011/relationships/chartStyle" Target="style129.xml"/></Relationships>
</file>

<file path=xl/charts/_rels/chart61.xml.rels><?xml version="1.0" encoding="UTF-8" standalone="yes"?>
<Relationships xmlns="http://schemas.openxmlformats.org/package/2006/relationships"><Relationship Id="rId2" Type="http://schemas.microsoft.com/office/2011/relationships/chartColorStyle" Target="colors130.xml"/><Relationship Id="rId1" Type="http://schemas.microsoft.com/office/2011/relationships/chartStyle" Target="style130.xml"/></Relationships>
</file>

<file path=xl/charts/_rels/chart62.xml.rels><?xml version="1.0" encoding="UTF-8" standalone="yes"?>
<Relationships xmlns="http://schemas.openxmlformats.org/package/2006/relationships"><Relationship Id="rId2" Type="http://schemas.microsoft.com/office/2011/relationships/chartColorStyle" Target="colors131.xml"/><Relationship Id="rId1" Type="http://schemas.microsoft.com/office/2011/relationships/chartStyle" Target="style131.xml"/></Relationships>
</file>

<file path=xl/charts/_rels/chart63.xml.rels><?xml version="1.0" encoding="UTF-8" standalone="yes"?>
<Relationships xmlns="http://schemas.openxmlformats.org/package/2006/relationships"><Relationship Id="rId2" Type="http://schemas.microsoft.com/office/2011/relationships/chartColorStyle" Target="colors132.xml"/><Relationship Id="rId1" Type="http://schemas.microsoft.com/office/2011/relationships/chartStyle" Target="style13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14.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15.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16.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17.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18.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Ex19.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Ex20.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Ex21.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Ex22.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Ex23.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Ex24.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Ex25.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Ex26.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Ex27.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Ex28.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Ex29.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Ex30.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Ex31.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Ex32.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Ex33.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Ex34.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Ex35.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Ex36.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Ex37.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Ex38.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Ex39.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Ex40.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Ex41.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Ex42.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Ex43.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Ex44.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Ex45.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Ex46.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Ex47.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Ex48.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Ex49.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Ex50.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Ex51.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Ex52.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Ex53.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Ex54.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Ex55.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Ex56.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Ex57.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Ex58.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Ex59.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Ex60.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Ex61.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Ex62.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Ex63.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_rels/chartEx64.xml.rels><?xml version="1.0" encoding="UTF-8" standalone="yes"?>
<Relationships xmlns="http://schemas.openxmlformats.org/package/2006/relationships"><Relationship Id="rId2" Type="http://schemas.microsoft.com/office/2011/relationships/chartColorStyle" Target="colors121.xml"/><Relationship Id="rId1" Type="http://schemas.microsoft.com/office/2011/relationships/chartStyle" Target="style121.xml"/></Relationships>
</file>

<file path=xl/charts/_rels/chartEx65.xml.rels><?xml version="1.0" encoding="UTF-8" standalone="yes"?>
<Relationships xmlns="http://schemas.openxmlformats.org/package/2006/relationships"><Relationship Id="rId2" Type="http://schemas.microsoft.com/office/2011/relationships/chartColorStyle" Target="colors122.xml"/><Relationship Id="rId1" Type="http://schemas.microsoft.com/office/2011/relationships/chartStyle" Target="style122.xml"/></Relationships>
</file>

<file path=xl/charts/_rels/chartEx66.xml.rels><?xml version="1.0" encoding="UTF-8" standalone="yes"?>
<Relationships xmlns="http://schemas.openxmlformats.org/package/2006/relationships"><Relationship Id="rId2" Type="http://schemas.microsoft.com/office/2011/relationships/chartColorStyle" Target="colors123.xml"/><Relationship Id="rId1" Type="http://schemas.microsoft.com/office/2011/relationships/chartStyle" Target="style123.xml"/></Relationships>
</file>

<file path=xl/charts/_rels/chartEx67.xml.rels><?xml version="1.0" encoding="UTF-8" standalone="yes"?>
<Relationships xmlns="http://schemas.openxmlformats.org/package/2006/relationships"><Relationship Id="rId2" Type="http://schemas.microsoft.com/office/2011/relationships/chartColorStyle" Target="colors124.xml"/><Relationship Id="rId1" Type="http://schemas.microsoft.com/office/2011/relationships/chartStyle" Target="style124.xml"/></Relationships>
</file>

<file path=xl/charts/_rels/chartEx68.xml.rels><?xml version="1.0" encoding="UTF-8" standalone="yes"?>
<Relationships xmlns="http://schemas.openxmlformats.org/package/2006/relationships"><Relationship Id="rId2" Type="http://schemas.microsoft.com/office/2011/relationships/chartColorStyle" Target="colors125.xml"/><Relationship Id="rId1" Type="http://schemas.microsoft.com/office/2011/relationships/chartStyle" Target="style125.xml"/></Relationships>
</file>

<file path=xl/charts/_rels/chartEx69.xml.rels><?xml version="1.0" encoding="UTF-8" standalone="yes"?>
<Relationships xmlns="http://schemas.openxmlformats.org/package/2006/relationships"><Relationship Id="rId2" Type="http://schemas.microsoft.com/office/2011/relationships/chartColorStyle" Target="colors126.xml"/><Relationship Id="rId1" Type="http://schemas.microsoft.com/office/2011/relationships/chartStyle" Target="style126.xml"/></Relationships>
</file>

<file path=xl/charts/_rels/chartEx70.xml.rels><?xml version="1.0" encoding="UTF-8" standalone="yes"?>
<Relationships xmlns="http://schemas.openxmlformats.org/package/2006/relationships"><Relationship Id="rId2" Type="http://schemas.microsoft.com/office/2011/relationships/chartColorStyle" Target="colors133.xml"/><Relationship Id="rId1" Type="http://schemas.microsoft.com/office/2011/relationships/chartStyle" Target="style133.xml"/></Relationships>
</file>

<file path=xl/charts/_rels/chartEx71.xml.rels><?xml version="1.0" encoding="UTF-8" standalone="yes"?>
<Relationships xmlns="http://schemas.openxmlformats.org/package/2006/relationships"><Relationship Id="rId2" Type="http://schemas.microsoft.com/office/2011/relationships/chartColorStyle" Target="colors134.xml"/><Relationship Id="rId1" Type="http://schemas.microsoft.com/office/2011/relationships/chartStyle" Target="style134.xml"/></Relationships>
</file>

<file path=xl/charts/_rels/chartEx72.xml.rels><?xml version="1.0" encoding="UTF-8" standalone="yes"?>
<Relationships xmlns="http://schemas.openxmlformats.org/package/2006/relationships"><Relationship Id="rId2" Type="http://schemas.microsoft.com/office/2011/relationships/chartColorStyle" Target="colors135.xml"/><Relationship Id="rId1" Type="http://schemas.microsoft.com/office/2011/relationships/chartStyle" Target="style135.xml"/></Relationships>
</file>

<file path=xl/charts/_rels/chartEx73.xml.rels><?xml version="1.0" encoding="UTF-8" standalone="yes"?>
<Relationships xmlns="http://schemas.openxmlformats.org/package/2006/relationships"><Relationship Id="rId2" Type="http://schemas.microsoft.com/office/2011/relationships/chartColorStyle" Target="colors136.xml"/><Relationship Id="rId1" Type="http://schemas.microsoft.com/office/2011/relationships/chartStyle" Target="style136.xml"/></Relationships>
</file>

<file path=xl/charts/_rels/chartEx74.xml.rels><?xml version="1.0" encoding="UTF-8" standalone="yes"?>
<Relationships xmlns="http://schemas.openxmlformats.org/package/2006/relationships"><Relationship Id="rId2" Type="http://schemas.microsoft.com/office/2011/relationships/chartColorStyle" Target="colors137.xml"/><Relationship Id="rId1" Type="http://schemas.microsoft.com/office/2011/relationships/chartStyle" Target="style137.xml"/></Relationships>
</file>

<file path=xl/charts/_rels/chartEx75.xml.rels><?xml version="1.0" encoding="UTF-8" standalone="yes"?>
<Relationships xmlns="http://schemas.openxmlformats.org/package/2006/relationships"><Relationship Id="rId2" Type="http://schemas.microsoft.com/office/2011/relationships/chartColorStyle" Target="colors138.xml"/><Relationship Id="rId1" Type="http://schemas.microsoft.com/office/2011/relationships/chartStyle" Target="style138.xml"/></Relationships>
</file>

<file path=xl/charts/_rels/chartEx76.xml.rels><?xml version="1.0" encoding="UTF-8" standalone="yes"?>
<Relationships xmlns="http://schemas.openxmlformats.org/package/2006/relationships"><Relationship Id="rId2" Type="http://schemas.microsoft.com/office/2011/relationships/chartColorStyle" Target="colors139.xml"/><Relationship Id="rId1" Type="http://schemas.microsoft.com/office/2011/relationships/chartStyle" Target="style139.xml"/></Relationships>
</file>

<file path=xl/charts/_rels/chartEx77.xml.rels><?xml version="1.0" encoding="UTF-8" standalone="yes"?>
<Relationships xmlns="http://schemas.openxmlformats.org/package/2006/relationships"><Relationship Id="rId2" Type="http://schemas.microsoft.com/office/2011/relationships/chartColorStyle" Target="colors140.xml"/><Relationship Id="rId1" Type="http://schemas.microsoft.com/office/2011/relationships/chartStyle" Target="style14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0537329872175481"/>
          <c:y val="0.17638010449286365"/>
          <c:w val="0.8614635099138358"/>
          <c:h val="0.50047423569045757"/>
        </c:manualLayout>
      </c:layout>
      <c:lineChart>
        <c:grouping val="standard"/>
        <c:varyColors val="0"/>
        <c:ser>
          <c:idx val="0"/>
          <c:order val="0"/>
          <c:tx>
            <c:strRef>
              <c:f>'1.Quality'!$H$22</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'1.Quality'!$I$22:$T$22</c:f>
              <c:numCache>
                <c:formatCode>General</c:formatCode>
                <c:ptCount val="12"/>
                <c:pt idx="0">
                  <c:v>6</c:v>
                </c:pt>
                <c:pt idx="1">
                  <c:v>5</c:v>
                </c:pt>
                <c:pt idx="2">
                  <c:v>5</c:v>
                </c:pt>
                <c:pt idx="3">
                  <c:v>4</c:v>
                </c:pt>
                <c:pt idx="4">
                  <c:v>4</c:v>
                </c:pt>
                <c:pt idx="5">
                  <c:v>4</c:v>
                </c:pt>
                <c:pt idx="6">
                  <c:v>4</c:v>
                </c:pt>
                <c:pt idx="7">
                  <c:v>2</c:v>
                </c:pt>
                <c:pt idx="8">
                  <c:v>2</c:v>
                </c:pt>
                <c:pt idx="9">
                  <c:v>0</c:v>
                </c:pt>
                <c:pt idx="10">
                  <c:v>0</c:v>
                </c:pt>
                <c:pt idx="11">
                  <c:v>0</c:v>
                </c:pt>
              </c:numCache>
            </c:numRef>
          </c:val>
          <c:smooth val="0"/>
          <c:extLst>
            <c:ext xmlns:c16="http://schemas.microsoft.com/office/drawing/2014/chart" uri="{C3380CC4-5D6E-409C-BE32-E72D297353CC}">
              <c16:uniqueId val="{00000000-43B9-4694-A55E-6A1DCFFEB997}"/>
            </c:ext>
          </c:extLst>
        </c:ser>
        <c:ser>
          <c:idx val="1"/>
          <c:order val="1"/>
          <c:tx>
            <c:strRef>
              <c:f>'1.Quality'!$H$23</c:f>
              <c:strCache>
                <c:ptCount val="1"/>
                <c:pt idx="0">
                  <c:v>Actual</c:v>
                </c:pt>
              </c:strCache>
            </c:strRef>
          </c:tx>
          <c:spPr>
            <a:ln w="15875" cap="rnd">
              <a:solidFill>
                <a:srgbClr val="FF0000"/>
              </a:solidFill>
              <a:round/>
            </a:ln>
            <a:effectLst/>
          </c:spPr>
          <c:marker>
            <c:symbol val="circle"/>
            <c:size val="2"/>
            <c:spPr>
              <a:solidFill>
                <a:srgbClr val="FF0000"/>
              </a:solidFill>
              <a:ln w="9525">
                <a:solidFill>
                  <a:srgbClr val="FF0000"/>
                </a:solid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'1.Quality'!$I$23:$T$23</c:f>
              <c:numCache>
                <c:formatCode>0</c:formatCode>
                <c:ptCount val="12"/>
                <c:pt idx="0">
                  <c:v>6</c:v>
                </c:pt>
                <c:pt idx="1">
                  <c:v>5</c:v>
                </c:pt>
                <c:pt idx="2">
                  <c:v>5</c:v>
                </c:pt>
                <c:pt idx="3">
                  <c:v>4</c:v>
                </c:pt>
                <c:pt idx="4">
                  <c:v>4</c:v>
                </c:pt>
                <c:pt idx="5" formatCode="General">
                  <c:v>4</c:v>
                </c:pt>
                <c:pt idx="6" formatCode="General">
                  <c:v>4</c:v>
                </c:pt>
                <c:pt idx="7" formatCode="General">
                  <c:v>2</c:v>
                </c:pt>
              </c:numCache>
            </c:numRef>
          </c:val>
          <c:smooth val="0"/>
          <c:extLst>
            <c:ext xmlns:c16="http://schemas.microsoft.com/office/drawing/2014/chart" uri="{C3380CC4-5D6E-409C-BE32-E72D297353CC}">
              <c16:uniqueId val="{00000001-43B9-4694-A55E-6A1DCFFEB997}"/>
            </c:ext>
          </c:extLst>
        </c:ser>
        <c:ser>
          <c:idx val="2"/>
          <c:order val="2"/>
          <c:tx>
            <c:v>green</c:v>
          </c:tx>
          <c:spPr>
            <a:ln w="15875" cap="rnd">
              <a:solidFill>
                <a:schemeClr val="accent6"/>
              </a:solidFill>
              <a:round/>
            </a:ln>
            <a:effectLst/>
          </c:spPr>
          <c:marker>
            <c:symbol val="circle"/>
            <c:size val="3"/>
            <c:spPr>
              <a:solidFill>
                <a:schemeClr val="accent6">
                  <a:alpha val="99000"/>
                </a:schemeClr>
              </a:solidFill>
              <a:ln w="9525">
                <a:no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'1.Quality'!$X$3:$AI$3</c:f>
              <c:numCache>
                <c:formatCode>General</c:formatCode>
                <c:ptCount val="12"/>
                <c:pt idx="0">
                  <c:v>6</c:v>
                </c:pt>
                <c:pt idx="1">
                  <c:v>5</c:v>
                </c:pt>
                <c:pt idx="2">
                  <c:v>5</c:v>
                </c:pt>
                <c:pt idx="3">
                  <c:v>4</c:v>
                </c:pt>
                <c:pt idx="4">
                  <c:v>4</c:v>
                </c:pt>
                <c:pt idx="5">
                  <c:v>4</c:v>
                </c:pt>
                <c:pt idx="6">
                  <c:v>4</c:v>
                </c:pt>
                <c:pt idx="7">
                  <c:v>2</c:v>
                </c:pt>
                <c:pt idx="8">
                  <c:v>#N/A</c:v>
                </c:pt>
                <c:pt idx="9">
                  <c:v>#N/A</c:v>
                </c:pt>
                <c:pt idx="10">
                  <c:v>#N/A</c:v>
                </c:pt>
                <c:pt idx="11">
                  <c:v>#N/A</c:v>
                </c:pt>
              </c:numCache>
            </c:numRef>
          </c:val>
          <c:smooth val="0"/>
          <c:extLst>
            <c:ext xmlns:c16="http://schemas.microsoft.com/office/drawing/2014/chart" uri="{C3380CC4-5D6E-409C-BE32-E72D297353CC}">
              <c16:uniqueId val="{00000002-43B9-4694-A55E-6A1DCFFEB997}"/>
            </c:ext>
          </c:extLst>
        </c:ser>
        <c:ser>
          <c:idx val="3"/>
          <c:order val="3"/>
          <c:tx>
            <c:v>red</c:v>
          </c:tx>
          <c:spPr>
            <a:ln w="28575" cap="rnd">
              <a:noFill/>
              <a:round/>
            </a:ln>
            <a:effectLst/>
          </c:spPr>
          <c:marker>
            <c:symbol val="none"/>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'1.Quality'!$X$4:$AI$4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43B9-4694-A55E-6A1DCFFEB997}"/>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'1.Quality'!$H$24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'1.Quality'!$I$24:$T$24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54A1-4F56-B1E8-6BCB8EF6CB75}"/>
            </c:ext>
          </c:extLst>
        </c:ser>
        <c:ser>
          <c:idx val="1"/>
          <c:order val="1"/>
          <c:tx>
            <c:strRef>
              <c:f>'1.Quality'!$H$25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'1.Quality'!$I$25:$T$25</c:f>
              <c:numCache>
                <c:formatCode>General</c:formatCode>
                <c:ptCount val="12"/>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54A1-4F56-B1E8-6BCB8EF6CB75}"/>
            </c:ext>
          </c:extLst>
        </c:ser>
        <c:ser>
          <c:idx val="2"/>
          <c:order val="2"/>
          <c:tx>
            <c:v>green</c:v>
          </c:tx>
          <c:spPr>
            <a:ln w="28575" cap="rnd">
              <a:solidFill>
                <a:schemeClr val="accent6"/>
              </a:solidFill>
              <a:round/>
            </a:ln>
            <a:effectLst/>
          </c:spPr>
          <c:marker>
            <c:symbol val="circle"/>
            <c:size val="3"/>
            <c:spPr>
              <a:solidFill>
                <a:schemeClr val="accent6"/>
              </a:solidFill>
              <a:ln w="9525">
                <a:no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'1.Quality'!$X$13:$AI$13</c:f>
              <c:numCache>
                <c:formatCode>General</c:formatCode>
                <c:ptCount val="12"/>
                <c:pt idx="0">
                  <c:v>0</c:v>
                </c:pt>
                <c:pt idx="1">
                  <c:v>0</c:v>
                </c:pt>
                <c:pt idx="2">
                  <c:v>0</c:v>
                </c:pt>
                <c:pt idx="3">
                  <c:v>0</c:v>
                </c:pt>
                <c:pt idx="4">
                  <c:v>0</c:v>
                </c:pt>
                <c:pt idx="5">
                  <c:v>0</c:v>
                </c:pt>
                <c:pt idx="6">
                  <c:v>0</c:v>
                </c:pt>
                <c:pt idx="7">
                  <c:v>0</c:v>
                </c:pt>
                <c:pt idx="8">
                  <c:v>#N/A</c:v>
                </c:pt>
                <c:pt idx="9">
                  <c:v>#N/A</c:v>
                </c:pt>
                <c:pt idx="10">
                  <c:v>#N/A</c:v>
                </c:pt>
                <c:pt idx="11">
                  <c:v>#N/A</c:v>
                </c:pt>
              </c:numCache>
            </c:numRef>
          </c:val>
          <c:smooth val="0"/>
          <c:extLst>
            <c:ext xmlns:c16="http://schemas.microsoft.com/office/drawing/2014/chart" uri="{C3380CC4-5D6E-409C-BE32-E72D297353CC}">
              <c16:uniqueId val="{00000002-54A1-4F56-B1E8-6BCB8EF6CB75}"/>
            </c:ext>
          </c:extLst>
        </c:ser>
        <c:ser>
          <c:idx val="3"/>
          <c:order val="3"/>
          <c:tx>
            <c:v>red</c:v>
          </c:tx>
          <c:spPr>
            <a:ln w="28575" cap="rnd">
              <a:solidFill>
                <a:schemeClr val="accent4"/>
              </a:solidFill>
              <a:round/>
            </a:ln>
            <a:effectLst/>
          </c:spPr>
          <c:marker>
            <c:symbol val="circle"/>
            <c:size val="3"/>
            <c:spPr>
              <a:solidFill>
                <a:srgbClr val="FF0000"/>
              </a:solidFill>
              <a:ln w="9525">
                <a:no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'1.Quality'!$X$14:$AI$14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54A1-4F56-B1E8-6BCB8EF6CB75}"/>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5831415993036527E-2"/>
          <c:y val="0.175095057528902"/>
          <c:w val="0.90002625451929408"/>
          <c:h val="0.50411361479555705"/>
        </c:manualLayout>
      </c:layout>
      <c:lineChart>
        <c:grouping val="standard"/>
        <c:varyColors val="0"/>
        <c:ser>
          <c:idx val="0"/>
          <c:order val="0"/>
          <c:tx>
            <c:strRef>
              <c:f>'1.Quality'!$H$20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'1.Quality'!$I$20:$T$20</c:f>
              <c:numCache>
                <c:formatCode>0%</c:formatCode>
                <c:ptCount val="12"/>
                <c:pt idx="0">
                  <c:v>0.95</c:v>
                </c:pt>
                <c:pt idx="1">
                  <c:v>0.95</c:v>
                </c:pt>
                <c:pt idx="2">
                  <c:v>0.95</c:v>
                </c:pt>
                <c:pt idx="3">
                  <c:v>0.95</c:v>
                </c:pt>
                <c:pt idx="4">
                  <c:v>0.95</c:v>
                </c:pt>
                <c:pt idx="5">
                  <c:v>0.95</c:v>
                </c:pt>
                <c:pt idx="6">
                  <c:v>0.95</c:v>
                </c:pt>
                <c:pt idx="7">
                  <c:v>0.95</c:v>
                </c:pt>
                <c:pt idx="8">
                  <c:v>0.95</c:v>
                </c:pt>
                <c:pt idx="9">
                  <c:v>0.95</c:v>
                </c:pt>
                <c:pt idx="10">
                  <c:v>0.95</c:v>
                </c:pt>
                <c:pt idx="11">
                  <c:v>0.95</c:v>
                </c:pt>
              </c:numCache>
            </c:numRef>
          </c:val>
          <c:smooth val="0"/>
          <c:extLst>
            <c:ext xmlns:c16="http://schemas.microsoft.com/office/drawing/2014/chart" uri="{C3380CC4-5D6E-409C-BE32-E72D297353CC}">
              <c16:uniqueId val="{00000000-D4BC-468C-B5AE-2DA087EF81C8}"/>
            </c:ext>
          </c:extLst>
        </c:ser>
        <c:ser>
          <c:idx val="1"/>
          <c:order val="1"/>
          <c:tx>
            <c:strRef>
              <c:f>'1.Quality'!$H$21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'1.Quality'!$I$21:$T$21</c:f>
              <c:numCache>
                <c:formatCode>0%</c:formatCode>
                <c:ptCount val="12"/>
                <c:pt idx="0">
                  <c:v>0.22</c:v>
                </c:pt>
                <c:pt idx="1">
                  <c:v>0.4</c:v>
                </c:pt>
                <c:pt idx="2">
                  <c:v>0.22</c:v>
                </c:pt>
                <c:pt idx="3">
                  <c:v>0.4</c:v>
                </c:pt>
                <c:pt idx="4">
                  <c:v>0.875</c:v>
                </c:pt>
                <c:pt idx="5">
                  <c:v>0.3</c:v>
                </c:pt>
                <c:pt idx="6">
                  <c:v>0.4</c:v>
                </c:pt>
                <c:pt idx="7">
                  <c:v>0.83</c:v>
                </c:pt>
              </c:numCache>
            </c:numRef>
          </c:val>
          <c:smooth val="0"/>
          <c:extLst>
            <c:ext xmlns:c16="http://schemas.microsoft.com/office/drawing/2014/chart" uri="{C3380CC4-5D6E-409C-BE32-E72D297353CC}">
              <c16:uniqueId val="{00000001-D4BC-468C-B5AE-2DA087EF81C8}"/>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'1.Quality'!$X$1:$AI$1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D4BC-468C-B5AE-2DA087EF81C8}"/>
            </c:ext>
          </c:extLst>
        </c:ser>
        <c:ser>
          <c:idx val="3"/>
          <c:order val="3"/>
          <c:tx>
            <c:v>red</c:v>
          </c:tx>
          <c:spPr>
            <a:ln w="28575" cap="rnd">
              <a:noFill/>
              <a:round/>
            </a:ln>
            <a:effectLst/>
          </c:spPr>
          <c:marker>
            <c:symbol val="circle"/>
            <c:size val="3"/>
            <c:spPr>
              <a:noFill/>
              <a:ln w="9525">
                <a:no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'1.Quality'!$X$2:$AI$2</c:f>
              <c:numCache>
                <c:formatCode>General</c:formatCode>
                <c:ptCount val="12"/>
                <c:pt idx="0">
                  <c:v>0.22</c:v>
                </c:pt>
                <c:pt idx="1">
                  <c:v>0.4</c:v>
                </c:pt>
                <c:pt idx="2">
                  <c:v>0.22</c:v>
                </c:pt>
                <c:pt idx="3">
                  <c:v>0.4</c:v>
                </c:pt>
                <c:pt idx="4">
                  <c:v>0.875</c:v>
                </c:pt>
                <c:pt idx="5">
                  <c:v>0.3</c:v>
                </c:pt>
                <c:pt idx="6">
                  <c:v>0.4</c:v>
                </c:pt>
                <c:pt idx="7">
                  <c:v>0.83</c:v>
                </c:pt>
                <c:pt idx="8">
                  <c:v>#N/A</c:v>
                </c:pt>
                <c:pt idx="9">
                  <c:v>#N/A</c:v>
                </c:pt>
                <c:pt idx="10">
                  <c:v>#N/A</c:v>
                </c:pt>
                <c:pt idx="11">
                  <c:v>#N/A</c:v>
                </c:pt>
              </c:numCache>
            </c:numRef>
          </c:val>
          <c:smooth val="0"/>
          <c:extLst>
            <c:ext xmlns:c16="http://schemas.microsoft.com/office/drawing/2014/chart" uri="{C3380CC4-5D6E-409C-BE32-E72D297353CC}">
              <c16:uniqueId val="{00000003-D4BC-468C-B5AE-2DA087EF81C8}"/>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'2.Regulatory'!$H$14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'2.Regulatory'!$I$14:$T$14</c:f>
              <c:numCache>
                <c:formatCode>0%</c:formatCode>
                <c:ptCount val="12"/>
                <c:pt idx="0">
                  <c:v>0.1</c:v>
                </c:pt>
                <c:pt idx="1">
                  <c:v>0.1</c:v>
                </c:pt>
                <c:pt idx="2">
                  <c:v>0.1</c:v>
                </c:pt>
                <c:pt idx="3">
                  <c:v>0.1</c:v>
                </c:pt>
                <c:pt idx="4">
                  <c:v>0.1</c:v>
                </c:pt>
                <c:pt idx="5">
                  <c:v>0.1</c:v>
                </c:pt>
                <c:pt idx="6">
                  <c:v>0.1</c:v>
                </c:pt>
                <c:pt idx="7">
                  <c:v>0.1</c:v>
                </c:pt>
                <c:pt idx="8">
                  <c:v>0.1</c:v>
                </c:pt>
                <c:pt idx="9">
                  <c:v>0.1</c:v>
                </c:pt>
                <c:pt idx="10">
                  <c:v>0.1</c:v>
                </c:pt>
                <c:pt idx="11">
                  <c:v>0.1</c:v>
                </c:pt>
              </c:numCache>
            </c:numRef>
          </c:val>
          <c:smooth val="0"/>
          <c:extLst>
            <c:ext xmlns:c16="http://schemas.microsoft.com/office/drawing/2014/chart" uri="{C3380CC4-5D6E-409C-BE32-E72D297353CC}">
              <c16:uniqueId val="{00000000-5532-40A2-98AB-C5BD108A6475}"/>
            </c:ext>
          </c:extLst>
        </c:ser>
        <c:ser>
          <c:idx val="1"/>
          <c:order val="1"/>
          <c:tx>
            <c:strRef>
              <c:f>'2.Regulatory'!$H$15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'2.Regulatory'!$I$15:$T$15</c:f>
              <c:numCache>
                <c:formatCode>0%</c:formatCode>
                <c:ptCount val="12"/>
                <c:pt idx="0">
                  <c:v>0</c:v>
                </c:pt>
                <c:pt idx="1">
                  <c:v>1.1111111111111112E-2</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5532-40A2-98AB-C5BD108A6475}"/>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'2.Regulatory'!$W$1:$AH$1</c:f>
              <c:numCache>
                <c:formatCode>General</c:formatCode>
                <c:ptCount val="12"/>
                <c:pt idx="0">
                  <c:v>0</c:v>
                </c:pt>
                <c:pt idx="1">
                  <c:v>1.1111111111111112E-2</c:v>
                </c:pt>
                <c:pt idx="2">
                  <c:v>0</c:v>
                </c:pt>
                <c:pt idx="3">
                  <c:v>0</c:v>
                </c:pt>
                <c:pt idx="4">
                  <c:v>0</c:v>
                </c:pt>
                <c:pt idx="5">
                  <c:v>0</c:v>
                </c:pt>
                <c:pt idx="6">
                  <c:v>0</c:v>
                </c:pt>
                <c:pt idx="7">
                  <c:v>0</c:v>
                </c:pt>
                <c:pt idx="8">
                  <c:v>#N/A</c:v>
                </c:pt>
                <c:pt idx="9">
                  <c:v>#N/A</c:v>
                </c:pt>
                <c:pt idx="10">
                  <c:v>#N/A</c:v>
                </c:pt>
                <c:pt idx="11">
                  <c:v>#N/A</c:v>
                </c:pt>
              </c:numCache>
            </c:numRef>
          </c:val>
          <c:smooth val="0"/>
          <c:extLst>
            <c:ext xmlns:c16="http://schemas.microsoft.com/office/drawing/2014/chart" uri="{C3380CC4-5D6E-409C-BE32-E72D297353CC}">
              <c16:uniqueId val="{00000002-5532-40A2-98AB-C5BD108A6475}"/>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'2.Regulatory'!$W$2:$AH$2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5532-40A2-98AB-C5BD108A6475}"/>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'2.Regulatory'!$H$16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'2.Regulatory'!$I$16:$T$16</c:f>
              <c:numCache>
                <c:formatCode>0%</c:formatCode>
                <c:ptCount val="12"/>
                <c:pt idx="0">
                  <c:v>0.95</c:v>
                </c:pt>
                <c:pt idx="1">
                  <c:v>0.95</c:v>
                </c:pt>
                <c:pt idx="2">
                  <c:v>0.95</c:v>
                </c:pt>
                <c:pt idx="3">
                  <c:v>0.95</c:v>
                </c:pt>
                <c:pt idx="4">
                  <c:v>0.95</c:v>
                </c:pt>
                <c:pt idx="5">
                  <c:v>0.95</c:v>
                </c:pt>
                <c:pt idx="6">
                  <c:v>0.95</c:v>
                </c:pt>
                <c:pt idx="7">
                  <c:v>0.95</c:v>
                </c:pt>
                <c:pt idx="8">
                  <c:v>0.95</c:v>
                </c:pt>
                <c:pt idx="9">
                  <c:v>0.95</c:v>
                </c:pt>
                <c:pt idx="10">
                  <c:v>0.95</c:v>
                </c:pt>
                <c:pt idx="11">
                  <c:v>0.95</c:v>
                </c:pt>
              </c:numCache>
            </c:numRef>
          </c:val>
          <c:smooth val="0"/>
          <c:extLst>
            <c:ext xmlns:c16="http://schemas.microsoft.com/office/drawing/2014/chart" uri="{C3380CC4-5D6E-409C-BE32-E72D297353CC}">
              <c16:uniqueId val="{00000000-B3F4-4BDD-8CDD-60593DECD451}"/>
            </c:ext>
          </c:extLst>
        </c:ser>
        <c:ser>
          <c:idx val="1"/>
          <c:order val="1"/>
          <c:tx>
            <c:strRef>
              <c:f>'2.Regulatory'!$H$17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'2.Regulatory'!$I$17:$T$17</c:f>
              <c:numCache>
                <c:formatCode>0%</c:formatCode>
                <c:ptCount val="12"/>
                <c:pt idx="0">
                  <c:v>1</c:v>
                </c:pt>
                <c:pt idx="1">
                  <c:v>0.5</c:v>
                </c:pt>
                <c:pt idx="2">
                  <c:v>1</c:v>
                </c:pt>
                <c:pt idx="3">
                  <c:v>0</c:v>
                </c:pt>
                <c:pt idx="4">
                  <c:v>1</c:v>
                </c:pt>
                <c:pt idx="5">
                  <c:v>1</c:v>
                </c:pt>
                <c:pt idx="6">
                  <c:v>1</c:v>
                </c:pt>
                <c:pt idx="7">
                  <c:v>1</c:v>
                </c:pt>
              </c:numCache>
            </c:numRef>
          </c:val>
          <c:smooth val="0"/>
          <c:extLst>
            <c:ext xmlns:c16="http://schemas.microsoft.com/office/drawing/2014/chart" uri="{C3380CC4-5D6E-409C-BE32-E72D297353CC}">
              <c16:uniqueId val="{00000001-B3F4-4BDD-8CDD-60593DECD451}"/>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'2.Regulatory'!$W$3:$AH$3</c:f>
              <c:numCache>
                <c:formatCode>General</c:formatCode>
                <c:ptCount val="12"/>
                <c:pt idx="0">
                  <c:v>1</c:v>
                </c:pt>
                <c:pt idx="1">
                  <c:v>#N/A</c:v>
                </c:pt>
                <c:pt idx="2">
                  <c:v>1</c:v>
                </c:pt>
                <c:pt idx="3">
                  <c:v>#N/A</c:v>
                </c:pt>
                <c:pt idx="4">
                  <c:v>1</c:v>
                </c:pt>
                <c:pt idx="5">
                  <c:v>1</c:v>
                </c:pt>
                <c:pt idx="6">
                  <c:v>1</c:v>
                </c:pt>
                <c:pt idx="7">
                  <c:v>1</c:v>
                </c:pt>
                <c:pt idx="8">
                  <c:v>#N/A</c:v>
                </c:pt>
                <c:pt idx="9">
                  <c:v>#N/A</c:v>
                </c:pt>
                <c:pt idx="10">
                  <c:v>#N/A</c:v>
                </c:pt>
                <c:pt idx="11">
                  <c:v>#N/A</c:v>
                </c:pt>
              </c:numCache>
            </c:numRef>
          </c:val>
          <c:smooth val="0"/>
          <c:extLst>
            <c:ext xmlns:c16="http://schemas.microsoft.com/office/drawing/2014/chart" uri="{C3380CC4-5D6E-409C-BE32-E72D297353CC}">
              <c16:uniqueId val="{00000002-B3F4-4BDD-8CDD-60593DECD451}"/>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'2.Regulatory'!$W$4:$AH$4</c:f>
              <c:numCache>
                <c:formatCode>General</c:formatCode>
                <c:ptCount val="12"/>
                <c:pt idx="0">
                  <c:v>#N/A</c:v>
                </c:pt>
                <c:pt idx="1">
                  <c:v>0.5</c:v>
                </c:pt>
                <c:pt idx="2">
                  <c:v>#N/A</c:v>
                </c:pt>
                <c:pt idx="3">
                  <c:v>0</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3F4-4BDD-8CDD-60593DECD451}"/>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'2.Regulatory'!$H$18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'2.Regulatory'!$I$18:$T$18</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mooth val="0"/>
          <c:extLst>
            <c:ext xmlns:c16="http://schemas.microsoft.com/office/drawing/2014/chart" uri="{C3380CC4-5D6E-409C-BE32-E72D297353CC}">
              <c16:uniqueId val="{00000000-9F0E-4CBC-A4B7-0093EBEFC42F}"/>
            </c:ext>
          </c:extLst>
        </c:ser>
        <c:ser>
          <c:idx val="1"/>
          <c:order val="1"/>
          <c:tx>
            <c:strRef>
              <c:f>'2.Regulatory'!$H$19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'2.Regulatory'!$I$19:$T$19</c:f>
              <c:numCache>
                <c:formatCode>0%</c:formatCode>
                <c:ptCount val="12"/>
                <c:pt idx="0">
                  <c:v>1</c:v>
                </c:pt>
                <c:pt idx="1">
                  <c:v>1</c:v>
                </c:pt>
                <c:pt idx="2">
                  <c:v>1</c:v>
                </c:pt>
                <c:pt idx="3">
                  <c:v>0.93939393939393945</c:v>
                </c:pt>
                <c:pt idx="4">
                  <c:v>1</c:v>
                </c:pt>
                <c:pt idx="5">
                  <c:v>1</c:v>
                </c:pt>
                <c:pt idx="6">
                  <c:v>1</c:v>
                </c:pt>
                <c:pt idx="7">
                  <c:v>1</c:v>
                </c:pt>
              </c:numCache>
            </c:numRef>
          </c:val>
          <c:smooth val="0"/>
          <c:extLst>
            <c:ext xmlns:c16="http://schemas.microsoft.com/office/drawing/2014/chart" uri="{C3380CC4-5D6E-409C-BE32-E72D297353CC}">
              <c16:uniqueId val="{00000001-9F0E-4CBC-A4B7-0093EBEFC42F}"/>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'2.Regulatory'!$W$5:$AH$5</c:f>
              <c:numCache>
                <c:formatCode>General</c:formatCode>
                <c:ptCount val="12"/>
                <c:pt idx="0">
                  <c:v>1</c:v>
                </c:pt>
                <c:pt idx="1">
                  <c:v>1</c:v>
                </c:pt>
                <c:pt idx="2">
                  <c:v>1</c:v>
                </c:pt>
                <c:pt idx="3">
                  <c:v>#N/A</c:v>
                </c:pt>
                <c:pt idx="4">
                  <c:v>1</c:v>
                </c:pt>
                <c:pt idx="5">
                  <c:v>1</c:v>
                </c:pt>
                <c:pt idx="6">
                  <c:v>1</c:v>
                </c:pt>
                <c:pt idx="7">
                  <c:v>1</c:v>
                </c:pt>
                <c:pt idx="8">
                  <c:v>#N/A</c:v>
                </c:pt>
                <c:pt idx="9">
                  <c:v>#N/A</c:v>
                </c:pt>
                <c:pt idx="10">
                  <c:v>#N/A</c:v>
                </c:pt>
                <c:pt idx="11">
                  <c:v>#N/A</c:v>
                </c:pt>
              </c:numCache>
            </c:numRef>
          </c:val>
          <c:smooth val="0"/>
          <c:extLst>
            <c:ext xmlns:c16="http://schemas.microsoft.com/office/drawing/2014/chart" uri="{C3380CC4-5D6E-409C-BE32-E72D297353CC}">
              <c16:uniqueId val="{00000002-9F0E-4CBC-A4B7-0093EBEFC42F}"/>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'2.Regulatory'!$W$6:$AH$6</c:f>
              <c:numCache>
                <c:formatCode>General</c:formatCode>
                <c:ptCount val="12"/>
                <c:pt idx="0">
                  <c:v>#N/A</c:v>
                </c:pt>
                <c:pt idx="1">
                  <c:v>#N/A</c:v>
                </c:pt>
                <c:pt idx="2">
                  <c:v>#N/A</c:v>
                </c:pt>
                <c:pt idx="3">
                  <c:v>0.93939393939393945</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9F0E-4CBC-A4B7-0093EBEFC42F}"/>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2266568466155701E-2"/>
          <c:y val="0.25362190105850907"/>
          <c:w val="0.90689182158264992"/>
          <c:h val="0.42828556032020193"/>
        </c:manualLayout>
      </c:layout>
      <c:lineChart>
        <c:grouping val="standard"/>
        <c:varyColors val="0"/>
        <c:ser>
          <c:idx val="0"/>
          <c:order val="0"/>
          <c:tx>
            <c:strRef>
              <c:f>'2.Regulatory'!$H$20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'2.Regulatory'!$I$20:$T$20</c:f>
              <c:numCache>
                <c:formatCode>0%</c:formatCode>
                <c:ptCount val="12"/>
                <c:pt idx="0">
                  <c:v>0.95</c:v>
                </c:pt>
                <c:pt idx="1">
                  <c:v>0.95</c:v>
                </c:pt>
                <c:pt idx="2">
                  <c:v>0.95</c:v>
                </c:pt>
                <c:pt idx="3">
                  <c:v>0.95</c:v>
                </c:pt>
                <c:pt idx="4">
                  <c:v>0.95</c:v>
                </c:pt>
                <c:pt idx="5">
                  <c:v>0.95</c:v>
                </c:pt>
                <c:pt idx="6">
                  <c:v>0.95</c:v>
                </c:pt>
                <c:pt idx="7">
                  <c:v>0.95</c:v>
                </c:pt>
                <c:pt idx="8">
                  <c:v>0.95</c:v>
                </c:pt>
                <c:pt idx="9">
                  <c:v>0.95</c:v>
                </c:pt>
                <c:pt idx="10">
                  <c:v>0.95</c:v>
                </c:pt>
                <c:pt idx="11">
                  <c:v>0.95</c:v>
                </c:pt>
              </c:numCache>
            </c:numRef>
          </c:val>
          <c:smooth val="0"/>
          <c:extLst>
            <c:ext xmlns:c16="http://schemas.microsoft.com/office/drawing/2014/chart" uri="{C3380CC4-5D6E-409C-BE32-E72D297353CC}">
              <c16:uniqueId val="{00000000-1B5D-4374-AC41-1D9BBF279078}"/>
            </c:ext>
          </c:extLst>
        </c:ser>
        <c:ser>
          <c:idx val="1"/>
          <c:order val="1"/>
          <c:tx>
            <c:strRef>
              <c:f>'2.Regulatory'!$H$21</c:f>
              <c:strCache>
                <c:ptCount val="1"/>
                <c:pt idx="0">
                  <c:v>Actual</c:v>
                </c:pt>
              </c:strCache>
            </c:strRef>
          </c:tx>
          <c:spPr>
            <a:ln w="12700" cap="rnd">
              <a:solidFill>
                <a:srgbClr val="FF0000"/>
              </a:solidFill>
              <a:round/>
            </a:ln>
            <a:effectLst/>
          </c:spPr>
          <c:marker>
            <c:symbol val="circle"/>
            <c:size val="3"/>
            <c:spPr>
              <a:solidFill>
                <a:srgbClr val="FF0000"/>
              </a:solidFill>
              <a:ln w="9525">
                <a:no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'2.Regulatory'!$I$21:$T$21</c:f>
              <c:numCache>
                <c:formatCode>0%</c:formatCode>
                <c:ptCount val="12"/>
                <c:pt idx="0">
                  <c:v>1</c:v>
                </c:pt>
                <c:pt idx="1">
                  <c:v>1</c:v>
                </c:pt>
                <c:pt idx="2">
                  <c:v>0.97058823529411764</c:v>
                </c:pt>
                <c:pt idx="3">
                  <c:v>1</c:v>
                </c:pt>
                <c:pt idx="4">
                  <c:v>1</c:v>
                </c:pt>
                <c:pt idx="5">
                  <c:v>1</c:v>
                </c:pt>
                <c:pt idx="6">
                  <c:v>1</c:v>
                </c:pt>
                <c:pt idx="7">
                  <c:v>1</c:v>
                </c:pt>
              </c:numCache>
            </c:numRef>
          </c:val>
          <c:smooth val="0"/>
          <c:extLst>
            <c:ext xmlns:c16="http://schemas.microsoft.com/office/drawing/2014/chart" uri="{C3380CC4-5D6E-409C-BE32-E72D297353CC}">
              <c16:uniqueId val="{00000001-1B5D-4374-AC41-1D9BBF279078}"/>
            </c:ext>
          </c:extLst>
        </c:ser>
        <c:ser>
          <c:idx val="2"/>
          <c:order val="2"/>
          <c:tx>
            <c:v>g</c:v>
          </c:tx>
          <c:spPr>
            <a:ln w="15875" cap="rnd">
              <a:solidFill>
                <a:schemeClr val="accent6">
                  <a:alpha val="96000"/>
                </a:schemeClr>
              </a:solidFill>
              <a:round/>
            </a:ln>
            <a:effectLst/>
          </c:spPr>
          <c:marker>
            <c:symbol val="circle"/>
            <c:size val="3"/>
            <c:spPr>
              <a:solidFill>
                <a:schemeClr val="accent6"/>
              </a:solidFill>
              <a:ln w="9525">
                <a:solidFill>
                  <a:schemeClr val="accent6">
                    <a:alpha val="82000"/>
                  </a:schemeClr>
                </a:solid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'2.Regulatory'!$W$7:$AH$7</c:f>
              <c:numCache>
                <c:formatCode>General</c:formatCode>
                <c:ptCount val="12"/>
                <c:pt idx="0">
                  <c:v>1</c:v>
                </c:pt>
                <c:pt idx="1">
                  <c:v>1</c:v>
                </c:pt>
                <c:pt idx="2">
                  <c:v>0.97058823529411764</c:v>
                </c:pt>
                <c:pt idx="3">
                  <c:v>1</c:v>
                </c:pt>
                <c:pt idx="4">
                  <c:v>1</c:v>
                </c:pt>
                <c:pt idx="5">
                  <c:v>1</c:v>
                </c:pt>
                <c:pt idx="6">
                  <c:v>1</c:v>
                </c:pt>
                <c:pt idx="7">
                  <c:v>1</c:v>
                </c:pt>
                <c:pt idx="8">
                  <c:v>#N/A</c:v>
                </c:pt>
                <c:pt idx="9">
                  <c:v>#N/A</c:v>
                </c:pt>
                <c:pt idx="10">
                  <c:v>#N/A</c:v>
                </c:pt>
                <c:pt idx="11">
                  <c:v>#N/A</c:v>
                </c:pt>
              </c:numCache>
            </c:numRef>
          </c:val>
          <c:smooth val="0"/>
          <c:extLst>
            <c:ext xmlns:c16="http://schemas.microsoft.com/office/drawing/2014/chart" uri="{C3380CC4-5D6E-409C-BE32-E72D297353CC}">
              <c16:uniqueId val="{00000003-1B5D-4374-AC41-1D9BBF279078}"/>
            </c:ext>
          </c:extLst>
        </c:ser>
        <c:ser>
          <c:idx val="3"/>
          <c:order val="3"/>
          <c:tx>
            <c:v>l</c:v>
          </c:tx>
          <c:spPr>
            <a:ln w="28575" cap="rnd">
              <a:noFill/>
              <a:round/>
            </a:ln>
            <a:effectLst/>
          </c:spPr>
          <c:marker>
            <c:symbol val="none"/>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'2.Regulatory'!$W$8:$AH$8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4-1B5D-4374-AC41-1D9BBF279078}"/>
            </c:ext>
          </c:extLst>
        </c:ser>
        <c:dLbls>
          <c:showLegendKey val="0"/>
          <c:showVal val="0"/>
          <c:showCatName val="0"/>
          <c:showSerName val="0"/>
          <c:showPercent val="0"/>
          <c:showBubbleSize val="0"/>
        </c:dLbls>
        <c:marker val="1"/>
        <c:smooth val="0"/>
        <c:axId val="1223069087"/>
        <c:axId val="1223067647"/>
      </c:lineChart>
      <c:dateAx>
        <c:axId val="12230690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067647"/>
        <c:crosses val="autoZero"/>
        <c:auto val="1"/>
        <c:lblOffset val="100"/>
        <c:baseTimeUnit val="months"/>
      </c:dateAx>
      <c:valAx>
        <c:axId val="12230676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0690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'3.ISC '!$H$14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'!$I$14:$T$14</c:f>
              <c:numCache>
                <c:formatCode>0%</c:formatCode>
                <c:ptCount val="12"/>
                <c:pt idx="0">
                  <c:v>0.9</c:v>
                </c:pt>
                <c:pt idx="1">
                  <c:v>0.9</c:v>
                </c:pt>
                <c:pt idx="2">
                  <c:v>0.9</c:v>
                </c:pt>
                <c:pt idx="3">
                  <c:v>0.9</c:v>
                </c:pt>
                <c:pt idx="4">
                  <c:v>0.9</c:v>
                </c:pt>
                <c:pt idx="5">
                  <c:v>0.9</c:v>
                </c:pt>
                <c:pt idx="6">
                  <c:v>0.9</c:v>
                </c:pt>
                <c:pt idx="7">
                  <c:v>0.9</c:v>
                </c:pt>
                <c:pt idx="8">
                  <c:v>0.9</c:v>
                </c:pt>
                <c:pt idx="9">
                  <c:v>0.9</c:v>
                </c:pt>
                <c:pt idx="10">
                  <c:v>0.9</c:v>
                </c:pt>
                <c:pt idx="11">
                  <c:v>0.9</c:v>
                </c:pt>
              </c:numCache>
            </c:numRef>
          </c:val>
          <c:smooth val="0"/>
          <c:extLst>
            <c:ext xmlns:c16="http://schemas.microsoft.com/office/drawing/2014/chart" uri="{C3380CC4-5D6E-409C-BE32-E72D297353CC}">
              <c16:uniqueId val="{00000000-6B66-47C0-A5C0-B6DB7C64149E}"/>
            </c:ext>
          </c:extLst>
        </c:ser>
        <c:ser>
          <c:idx val="1"/>
          <c:order val="1"/>
          <c:tx>
            <c:strRef>
              <c:f>'3.ISC '!$H$15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'!$I$15:$T$15</c:f>
              <c:numCache>
                <c:formatCode>0%</c:formatCode>
                <c:ptCount val="12"/>
                <c:pt idx="0">
                  <c:v>0.91</c:v>
                </c:pt>
                <c:pt idx="1">
                  <c:v>0.96</c:v>
                </c:pt>
                <c:pt idx="2">
                  <c:v>0.66</c:v>
                </c:pt>
                <c:pt idx="3">
                  <c:v>0.73</c:v>
                </c:pt>
                <c:pt idx="4">
                  <c:v>0.71</c:v>
                </c:pt>
                <c:pt idx="5">
                  <c:v>0.95</c:v>
                </c:pt>
                <c:pt idx="6">
                  <c:v>0.92</c:v>
                </c:pt>
              </c:numCache>
            </c:numRef>
          </c:val>
          <c:smooth val="0"/>
          <c:extLst>
            <c:ext xmlns:c16="http://schemas.microsoft.com/office/drawing/2014/chart" uri="{C3380CC4-5D6E-409C-BE32-E72D297353CC}">
              <c16:uniqueId val="{00000001-6B66-47C0-A5C0-B6DB7C64149E}"/>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'3.ISC '!$X$1:$AI$1</c:f>
              <c:numCache>
                <c:formatCode>General</c:formatCode>
                <c:ptCount val="12"/>
                <c:pt idx="0">
                  <c:v>0.91</c:v>
                </c:pt>
                <c:pt idx="1">
                  <c:v>0.96</c:v>
                </c:pt>
                <c:pt idx="2">
                  <c:v>#N/A</c:v>
                </c:pt>
                <c:pt idx="3">
                  <c:v>#N/A</c:v>
                </c:pt>
                <c:pt idx="4">
                  <c:v>#N/A</c:v>
                </c:pt>
                <c:pt idx="5">
                  <c:v>0.95</c:v>
                </c:pt>
                <c:pt idx="6">
                  <c:v>0.92</c:v>
                </c:pt>
                <c:pt idx="7">
                  <c:v>#N/A</c:v>
                </c:pt>
                <c:pt idx="8">
                  <c:v>#N/A</c:v>
                </c:pt>
                <c:pt idx="9">
                  <c:v>#N/A</c:v>
                </c:pt>
                <c:pt idx="10">
                  <c:v>#N/A</c:v>
                </c:pt>
                <c:pt idx="11">
                  <c:v>#N/A</c:v>
                </c:pt>
              </c:numCache>
            </c:numRef>
          </c:val>
          <c:smooth val="0"/>
          <c:extLst>
            <c:ext xmlns:c16="http://schemas.microsoft.com/office/drawing/2014/chart" uri="{C3380CC4-5D6E-409C-BE32-E72D297353CC}">
              <c16:uniqueId val="{00000002-6B66-47C0-A5C0-B6DB7C64149E}"/>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'3.ISC '!$X$2:$AI$2</c:f>
              <c:numCache>
                <c:formatCode>General</c:formatCode>
                <c:ptCount val="12"/>
                <c:pt idx="0">
                  <c:v>#N/A</c:v>
                </c:pt>
                <c:pt idx="1">
                  <c:v>#N/A</c:v>
                </c:pt>
                <c:pt idx="2">
                  <c:v>0.66</c:v>
                </c:pt>
                <c:pt idx="3">
                  <c:v>0.73</c:v>
                </c:pt>
                <c:pt idx="4">
                  <c:v>0.71</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6B66-47C0-A5C0-B6DB7C64149E}"/>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'3.ISC '!$H$16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'!$I$16:$T$16</c:f>
              <c:numCache>
                <c:formatCode>General</c:formatCode>
                <c:ptCount val="12"/>
                <c:pt idx="1">
                  <c:v>118</c:v>
                </c:pt>
                <c:pt idx="2">
                  <c:v>124</c:v>
                </c:pt>
                <c:pt idx="3">
                  <c:v>129</c:v>
                </c:pt>
                <c:pt idx="4">
                  <c:v>132</c:v>
                </c:pt>
                <c:pt idx="5">
                  <c:v>130</c:v>
                </c:pt>
                <c:pt idx="6">
                  <c:v>125</c:v>
                </c:pt>
                <c:pt idx="7">
                  <c:v>125</c:v>
                </c:pt>
                <c:pt idx="8">
                  <c:v>123</c:v>
                </c:pt>
                <c:pt idx="9">
                  <c:v>123</c:v>
                </c:pt>
                <c:pt idx="10">
                  <c:v>121</c:v>
                </c:pt>
                <c:pt idx="11">
                  <c:v>79</c:v>
                </c:pt>
              </c:numCache>
            </c:numRef>
          </c:val>
          <c:smooth val="0"/>
          <c:extLst>
            <c:ext xmlns:c16="http://schemas.microsoft.com/office/drawing/2014/chart" uri="{C3380CC4-5D6E-409C-BE32-E72D297353CC}">
              <c16:uniqueId val="{00000000-B446-4D10-8811-ECBEF5F2B288}"/>
            </c:ext>
          </c:extLst>
        </c:ser>
        <c:ser>
          <c:idx val="1"/>
          <c:order val="1"/>
          <c:tx>
            <c:strRef>
              <c:f>'3.ISC '!$H$17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'!$I$17:$T$17</c:f>
              <c:numCache>
                <c:formatCode>General</c:formatCode>
                <c:ptCount val="12"/>
                <c:pt idx="0">
                  <c:v>113</c:v>
                </c:pt>
                <c:pt idx="1">
                  <c:v>119</c:v>
                </c:pt>
                <c:pt idx="2">
                  <c:v>111</c:v>
                </c:pt>
                <c:pt idx="3">
                  <c:v>89</c:v>
                </c:pt>
                <c:pt idx="4">
                  <c:v>113</c:v>
                </c:pt>
                <c:pt idx="5">
                  <c:v>109</c:v>
                </c:pt>
                <c:pt idx="6">
                  <c:v>116</c:v>
                </c:pt>
              </c:numCache>
            </c:numRef>
          </c:val>
          <c:smooth val="0"/>
          <c:extLst>
            <c:ext xmlns:c16="http://schemas.microsoft.com/office/drawing/2014/chart" uri="{C3380CC4-5D6E-409C-BE32-E72D297353CC}">
              <c16:uniqueId val="{00000001-B446-4D10-8811-ECBEF5F2B288}"/>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'3.ISC '!$X$3:$AI$3</c:f>
              <c:numCache>
                <c:formatCode>General</c:formatCode>
                <c:ptCount val="12"/>
                <c:pt idx="0">
                  <c:v>113</c:v>
                </c:pt>
                <c:pt idx="1">
                  <c:v>119</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B446-4D10-8811-ECBEF5F2B288}"/>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'3.ISC '!$X$4:$AI$4</c:f>
              <c:numCache>
                <c:formatCode>General</c:formatCode>
                <c:ptCount val="12"/>
                <c:pt idx="0">
                  <c:v>#N/A</c:v>
                </c:pt>
                <c:pt idx="1">
                  <c:v>#N/A</c:v>
                </c:pt>
                <c:pt idx="2">
                  <c:v>111</c:v>
                </c:pt>
                <c:pt idx="3">
                  <c:v>89</c:v>
                </c:pt>
                <c:pt idx="4">
                  <c:v>113</c:v>
                </c:pt>
                <c:pt idx="5">
                  <c:v>109</c:v>
                </c:pt>
                <c:pt idx="6">
                  <c:v>116</c:v>
                </c:pt>
                <c:pt idx="7">
                  <c:v>#N/A</c:v>
                </c:pt>
                <c:pt idx="8">
                  <c:v>#N/A</c:v>
                </c:pt>
                <c:pt idx="9">
                  <c:v>#N/A</c:v>
                </c:pt>
                <c:pt idx="10">
                  <c:v>#N/A</c:v>
                </c:pt>
                <c:pt idx="11">
                  <c:v>#N/A</c:v>
                </c:pt>
              </c:numCache>
            </c:numRef>
          </c:val>
          <c:smooth val="0"/>
          <c:extLst>
            <c:ext xmlns:c16="http://schemas.microsoft.com/office/drawing/2014/chart" uri="{C3380CC4-5D6E-409C-BE32-E72D297353CC}">
              <c16:uniqueId val="{00000003-B446-4D10-8811-ECBEF5F2B288}"/>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'3.ISC '!$H$18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'!$I$18:$T$18</c:f>
              <c:numCache>
                <c:formatCode>0%</c:formatCode>
                <c:ptCount val="12"/>
                <c:pt idx="0">
                  <c:v>0.85</c:v>
                </c:pt>
                <c:pt idx="1">
                  <c:v>0.87</c:v>
                </c:pt>
                <c:pt idx="2">
                  <c:v>0.9</c:v>
                </c:pt>
                <c:pt idx="3">
                  <c:v>0.9</c:v>
                </c:pt>
                <c:pt idx="4">
                  <c:v>0.9</c:v>
                </c:pt>
                <c:pt idx="5">
                  <c:v>0.9</c:v>
                </c:pt>
                <c:pt idx="6">
                  <c:v>0.9</c:v>
                </c:pt>
                <c:pt idx="7">
                  <c:v>0.9</c:v>
                </c:pt>
                <c:pt idx="8">
                  <c:v>0.92</c:v>
                </c:pt>
                <c:pt idx="9">
                  <c:v>0.92</c:v>
                </c:pt>
                <c:pt idx="10">
                  <c:v>0.92</c:v>
                </c:pt>
                <c:pt idx="11">
                  <c:v>0.92</c:v>
                </c:pt>
              </c:numCache>
            </c:numRef>
          </c:val>
          <c:smooth val="0"/>
          <c:extLst>
            <c:ext xmlns:c16="http://schemas.microsoft.com/office/drawing/2014/chart" uri="{C3380CC4-5D6E-409C-BE32-E72D297353CC}">
              <c16:uniqueId val="{00000000-89FA-4D75-A1D4-FB99C23FA14E}"/>
            </c:ext>
          </c:extLst>
        </c:ser>
        <c:ser>
          <c:idx val="1"/>
          <c:order val="1"/>
          <c:tx>
            <c:strRef>
              <c:f>'3.ISC '!$H$19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'!$I$19:$T$19</c:f>
              <c:numCache>
                <c:formatCode>0%</c:formatCode>
                <c:ptCount val="12"/>
                <c:pt idx="0">
                  <c:v>0.93</c:v>
                </c:pt>
                <c:pt idx="1">
                  <c:v>0.89</c:v>
                </c:pt>
                <c:pt idx="2">
                  <c:v>0.88</c:v>
                </c:pt>
                <c:pt idx="3">
                  <c:v>0.84</c:v>
                </c:pt>
                <c:pt idx="4">
                  <c:v>0.93</c:v>
                </c:pt>
                <c:pt idx="5">
                  <c:v>0.93</c:v>
                </c:pt>
                <c:pt idx="6">
                  <c:v>0.92</c:v>
                </c:pt>
                <c:pt idx="7">
                  <c:v>0.96</c:v>
                </c:pt>
              </c:numCache>
            </c:numRef>
          </c:val>
          <c:smooth val="0"/>
          <c:extLst>
            <c:ext xmlns:c16="http://schemas.microsoft.com/office/drawing/2014/chart" uri="{C3380CC4-5D6E-409C-BE32-E72D297353CC}">
              <c16:uniqueId val="{00000001-89FA-4D75-A1D4-FB99C23FA14E}"/>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'3.ISC '!$X$5:$AI$5</c:f>
              <c:numCache>
                <c:formatCode>General</c:formatCode>
                <c:ptCount val="12"/>
                <c:pt idx="0">
                  <c:v>0.93</c:v>
                </c:pt>
                <c:pt idx="1">
                  <c:v>0.89</c:v>
                </c:pt>
                <c:pt idx="2">
                  <c:v>#N/A</c:v>
                </c:pt>
                <c:pt idx="3">
                  <c:v>#N/A</c:v>
                </c:pt>
                <c:pt idx="4">
                  <c:v>0.93</c:v>
                </c:pt>
                <c:pt idx="5">
                  <c:v>0.93</c:v>
                </c:pt>
                <c:pt idx="6">
                  <c:v>0.92</c:v>
                </c:pt>
                <c:pt idx="7">
                  <c:v>0.96</c:v>
                </c:pt>
                <c:pt idx="8">
                  <c:v>#N/A</c:v>
                </c:pt>
                <c:pt idx="9">
                  <c:v>#N/A</c:v>
                </c:pt>
                <c:pt idx="10">
                  <c:v>#N/A</c:v>
                </c:pt>
                <c:pt idx="11">
                  <c:v>#N/A</c:v>
                </c:pt>
              </c:numCache>
            </c:numRef>
          </c:val>
          <c:smooth val="0"/>
          <c:extLst>
            <c:ext xmlns:c16="http://schemas.microsoft.com/office/drawing/2014/chart" uri="{C3380CC4-5D6E-409C-BE32-E72D297353CC}">
              <c16:uniqueId val="{00000002-89FA-4D75-A1D4-FB99C23FA14E}"/>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'3.ISC '!$X$6:$AI$6</c:f>
              <c:numCache>
                <c:formatCode>General</c:formatCode>
                <c:ptCount val="12"/>
                <c:pt idx="0">
                  <c:v>#N/A</c:v>
                </c:pt>
                <c:pt idx="1">
                  <c:v>#N/A</c:v>
                </c:pt>
                <c:pt idx="2">
                  <c:v>0.88</c:v>
                </c:pt>
                <c:pt idx="3">
                  <c:v>0.84</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89FA-4D75-A1D4-FB99C23FA14E}"/>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'3.ISC '!$H$20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'!$I$20:$T$20</c:f>
              <c:numCache>
                <c:formatCode>0%</c:formatCode>
                <c:ptCount val="12"/>
                <c:pt idx="0">
                  <c:v>0.8</c:v>
                </c:pt>
                <c:pt idx="1">
                  <c:v>0.9</c:v>
                </c:pt>
                <c:pt idx="2">
                  <c:v>0.95</c:v>
                </c:pt>
                <c:pt idx="3">
                  <c:v>0.8</c:v>
                </c:pt>
                <c:pt idx="4">
                  <c:v>0.9</c:v>
                </c:pt>
                <c:pt idx="5">
                  <c:v>0.95</c:v>
                </c:pt>
                <c:pt idx="6">
                  <c:v>0.8</c:v>
                </c:pt>
                <c:pt idx="7">
                  <c:v>0.95</c:v>
                </c:pt>
                <c:pt idx="8">
                  <c:v>1</c:v>
                </c:pt>
              </c:numCache>
            </c:numRef>
          </c:val>
          <c:smooth val="0"/>
          <c:extLst>
            <c:ext xmlns:c16="http://schemas.microsoft.com/office/drawing/2014/chart" uri="{C3380CC4-5D6E-409C-BE32-E72D297353CC}">
              <c16:uniqueId val="{00000000-50FE-4BEA-BE47-66F01A9D0FBA}"/>
            </c:ext>
          </c:extLst>
        </c:ser>
        <c:ser>
          <c:idx val="1"/>
          <c:order val="1"/>
          <c:tx>
            <c:strRef>
              <c:f>'3.ISC '!$H$21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'!$I$21:$T$21</c:f>
              <c:numCache>
                <c:formatCode>0%</c:formatCode>
                <c:ptCount val="12"/>
                <c:pt idx="0">
                  <c:v>0.8</c:v>
                </c:pt>
                <c:pt idx="1">
                  <c:v>0.9</c:v>
                </c:pt>
                <c:pt idx="2">
                  <c:v>1.02</c:v>
                </c:pt>
                <c:pt idx="3">
                  <c:v>0.6</c:v>
                </c:pt>
                <c:pt idx="4">
                  <c:v>0.72</c:v>
                </c:pt>
                <c:pt idx="5">
                  <c:v>0.81</c:v>
                </c:pt>
                <c:pt idx="6">
                  <c:v>0.56000000000000005</c:v>
                </c:pt>
                <c:pt idx="7">
                  <c:v>0.71</c:v>
                </c:pt>
              </c:numCache>
            </c:numRef>
          </c:val>
          <c:smooth val="0"/>
          <c:extLst>
            <c:ext xmlns:c16="http://schemas.microsoft.com/office/drawing/2014/chart" uri="{C3380CC4-5D6E-409C-BE32-E72D297353CC}">
              <c16:uniqueId val="{00000001-50FE-4BEA-BE47-66F01A9D0FBA}"/>
            </c:ext>
          </c:extLst>
        </c:ser>
        <c:ser>
          <c:idx val="2"/>
          <c:order val="2"/>
          <c:tx>
            <c:v>green</c:v>
          </c:tx>
          <c:spPr>
            <a:ln w="28575" cap="rnd">
              <a:solidFill>
                <a:schemeClr val="accent3"/>
              </a:solidFill>
              <a:round/>
            </a:ln>
            <a:effectLst/>
          </c:spPr>
          <c:marker>
            <c:symbol val="circle"/>
            <c:size val="3"/>
            <c:spPr>
              <a:solidFill>
                <a:schemeClr val="accent6"/>
              </a:solidFill>
              <a:ln w="9525">
                <a:solidFill>
                  <a:schemeClr val="accent6"/>
                </a:solidFill>
              </a:ln>
              <a:effectLst/>
            </c:spPr>
          </c:marker>
          <c:val>
            <c:numRef>
              <c:f>'3.ISC '!$X$7:$AI$7</c:f>
              <c:numCache>
                <c:formatCode>General</c:formatCode>
                <c:ptCount val="12"/>
                <c:pt idx="0">
                  <c:v>0.8</c:v>
                </c:pt>
                <c:pt idx="1">
                  <c:v>0.9</c:v>
                </c:pt>
                <c:pt idx="2">
                  <c:v>1.02</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50FE-4BEA-BE47-66F01A9D0FBA}"/>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'3.ISC '!$X$8:$AI$8</c:f>
              <c:numCache>
                <c:formatCode>General</c:formatCode>
                <c:ptCount val="12"/>
                <c:pt idx="0">
                  <c:v>#N/A</c:v>
                </c:pt>
                <c:pt idx="1">
                  <c:v>#N/A</c:v>
                </c:pt>
                <c:pt idx="2">
                  <c:v>#N/A</c:v>
                </c:pt>
                <c:pt idx="3">
                  <c:v>0.6</c:v>
                </c:pt>
                <c:pt idx="4">
                  <c:v>0.72</c:v>
                </c:pt>
                <c:pt idx="5">
                  <c:v>0.81</c:v>
                </c:pt>
                <c:pt idx="6">
                  <c:v>0.56000000000000005</c:v>
                </c:pt>
                <c:pt idx="7">
                  <c:v>0.71</c:v>
                </c:pt>
                <c:pt idx="8">
                  <c:v>#N/A</c:v>
                </c:pt>
                <c:pt idx="9">
                  <c:v>#N/A</c:v>
                </c:pt>
                <c:pt idx="10">
                  <c:v>#N/A</c:v>
                </c:pt>
                <c:pt idx="11">
                  <c:v>#N/A</c:v>
                </c:pt>
              </c:numCache>
            </c:numRef>
          </c:val>
          <c:smooth val="0"/>
          <c:extLst>
            <c:ext xmlns:c16="http://schemas.microsoft.com/office/drawing/2014/chart" uri="{C3380CC4-5D6E-409C-BE32-E72D297353CC}">
              <c16:uniqueId val="{00000003-50FE-4BEA-BE47-66F01A9D0FBA}"/>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8.3749416454789921E-2"/>
          <c:y val="0.17242574656095117"/>
          <c:w val="0.87775175669843764"/>
          <c:h val="0.51167336539939823"/>
        </c:manualLayout>
      </c:layout>
      <c:lineChart>
        <c:grouping val="standard"/>
        <c:varyColors val="0"/>
        <c:ser>
          <c:idx val="0"/>
          <c:order val="0"/>
          <c:tx>
            <c:strRef>
              <c:f>'3.ISC '!$H$22</c:f>
              <c:strCache>
                <c:ptCount val="1"/>
                <c:pt idx="0">
                  <c:v>Target</c:v>
                </c:pt>
              </c:strCache>
            </c:strRef>
          </c:tx>
          <c:spPr>
            <a:ln w="15875" cap="rnd">
              <a:solidFill>
                <a:schemeClr val="accent1">
                  <a:alpha val="97000"/>
                </a:schemeClr>
              </a:solidFill>
              <a:round/>
            </a:ln>
            <a:effectLst/>
          </c:spPr>
          <c:marker>
            <c:symbol val="circle"/>
            <c:size val="3"/>
            <c:spPr>
              <a:solidFill>
                <a:schemeClr val="accent1"/>
              </a:solidFill>
              <a:ln w="9525">
                <a:solidFill>
                  <a:schemeClr val="accent1"/>
                </a:solid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'!$I$22:$T$22</c:f>
              <c:numCache>
                <c:formatCode>0.0</c:formatCode>
                <c:ptCount val="12"/>
                <c:pt idx="0">
                  <c:v>11.540479330384791</c:v>
                </c:pt>
                <c:pt idx="1">
                  <c:v>13.98559311072262</c:v>
                </c:pt>
                <c:pt idx="2">
                  <c:v>14.900208214760385</c:v>
                </c:pt>
                <c:pt idx="3">
                  <c:v>15.546561399682577</c:v>
                </c:pt>
                <c:pt idx="4">
                  <c:v>12.923735121949836</c:v>
                </c:pt>
                <c:pt idx="5">
                  <c:v>13.018237711231944</c:v>
                </c:pt>
                <c:pt idx="6">
                  <c:v>11.3455024479378</c:v>
                </c:pt>
                <c:pt idx="7">
                  <c:v>11.432870041027915</c:v>
                </c:pt>
                <c:pt idx="8">
                  <c:v>14.888579668012852</c:v>
                </c:pt>
                <c:pt idx="9">
                  <c:v>13.436984883293293</c:v>
                </c:pt>
                <c:pt idx="10">
                  <c:v>15.144875252863704</c:v>
                </c:pt>
                <c:pt idx="11">
                  <c:v>9.5717962887609644</c:v>
                </c:pt>
              </c:numCache>
            </c:numRef>
          </c:val>
          <c:smooth val="0"/>
          <c:extLst>
            <c:ext xmlns:c16="http://schemas.microsoft.com/office/drawing/2014/chart" uri="{C3380CC4-5D6E-409C-BE32-E72D297353CC}">
              <c16:uniqueId val="{00000000-F059-4621-9ED0-AD20D21888FD}"/>
            </c:ext>
          </c:extLst>
        </c:ser>
        <c:ser>
          <c:idx val="1"/>
          <c:order val="1"/>
          <c:tx>
            <c:strRef>
              <c:f>'3.ISC '!$H$23</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'!$I$23:$T$23</c:f>
              <c:numCache>
                <c:formatCode>General</c:formatCode>
                <c:ptCount val="12"/>
                <c:pt idx="0">
                  <c:v>17.3</c:v>
                </c:pt>
                <c:pt idx="1">
                  <c:v>21.89</c:v>
                </c:pt>
                <c:pt idx="2">
                  <c:v>21.44</c:v>
                </c:pt>
                <c:pt idx="3">
                  <c:v>24.02</c:v>
                </c:pt>
                <c:pt idx="4">
                  <c:v>24.1</c:v>
                </c:pt>
                <c:pt idx="5">
                  <c:v>22.5</c:v>
                </c:pt>
                <c:pt idx="6">
                  <c:v>23</c:v>
                </c:pt>
              </c:numCache>
            </c:numRef>
          </c:val>
          <c:smooth val="0"/>
          <c:extLst>
            <c:ext xmlns:c16="http://schemas.microsoft.com/office/drawing/2014/chart" uri="{C3380CC4-5D6E-409C-BE32-E72D297353CC}">
              <c16:uniqueId val="{00000001-F059-4621-9ED0-AD20D21888FD}"/>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'3.ISC '!$X$9:$AI$9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F059-4621-9ED0-AD20D21888FD}"/>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'3.ISC '!$X$10:$AI$10</c:f>
              <c:numCache>
                <c:formatCode>General</c:formatCode>
                <c:ptCount val="12"/>
                <c:pt idx="0">
                  <c:v>17.3</c:v>
                </c:pt>
                <c:pt idx="1">
                  <c:v>21.89</c:v>
                </c:pt>
                <c:pt idx="2">
                  <c:v>21.44</c:v>
                </c:pt>
                <c:pt idx="3">
                  <c:v>24.02</c:v>
                </c:pt>
                <c:pt idx="4">
                  <c:v>24.1</c:v>
                </c:pt>
                <c:pt idx="5">
                  <c:v>22.5</c:v>
                </c:pt>
                <c:pt idx="6">
                  <c:v>23</c:v>
                </c:pt>
                <c:pt idx="7">
                  <c:v>#N/A</c:v>
                </c:pt>
                <c:pt idx="8">
                  <c:v>#N/A</c:v>
                </c:pt>
                <c:pt idx="9">
                  <c:v>#N/A</c:v>
                </c:pt>
                <c:pt idx="10">
                  <c:v>#N/A</c:v>
                </c:pt>
                <c:pt idx="11">
                  <c:v>#N/A</c:v>
                </c:pt>
              </c:numCache>
            </c:numRef>
          </c:val>
          <c:smooth val="0"/>
          <c:extLst>
            <c:ext xmlns:c16="http://schemas.microsoft.com/office/drawing/2014/chart" uri="{C3380CC4-5D6E-409C-BE32-E72D297353CC}">
              <c16:uniqueId val="{00000003-F059-4621-9ED0-AD20D21888FD}"/>
            </c:ext>
          </c:extLst>
        </c:ser>
        <c:dLbls>
          <c:showLegendKey val="0"/>
          <c:showVal val="0"/>
          <c:showCatName val="0"/>
          <c:showSerName val="0"/>
          <c:showPercent val="0"/>
          <c:showBubbleSize val="0"/>
        </c:dLbls>
        <c:marker val="1"/>
        <c:smooth val="0"/>
        <c:axId val="180688111"/>
        <c:axId val="180691471"/>
      </c:lineChart>
      <c:dateAx>
        <c:axId val="180688111"/>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91471"/>
        <c:crosses val="autoZero"/>
        <c:auto val="1"/>
        <c:lblOffset val="100"/>
        <c:baseTimeUnit val="months"/>
      </c:dateAx>
      <c:valAx>
        <c:axId val="1806914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11"/>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'3.ISC '!$H$24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'!$I$24:$T$24</c:f>
              <c:numCache>
                <c:formatCode>General</c:formatCode>
                <c:ptCount val="12"/>
                <c:pt idx="0">
                  <c:v>15</c:v>
                </c:pt>
                <c:pt idx="1">
                  <c:v>15</c:v>
                </c:pt>
                <c:pt idx="2">
                  <c:v>15</c:v>
                </c:pt>
                <c:pt idx="3">
                  <c:v>15</c:v>
                </c:pt>
                <c:pt idx="4">
                  <c:v>15</c:v>
                </c:pt>
                <c:pt idx="5">
                  <c:v>15</c:v>
                </c:pt>
                <c:pt idx="6">
                  <c:v>15</c:v>
                </c:pt>
                <c:pt idx="7">
                  <c:v>15</c:v>
                </c:pt>
                <c:pt idx="8">
                  <c:v>15</c:v>
                </c:pt>
                <c:pt idx="9">
                  <c:v>15</c:v>
                </c:pt>
                <c:pt idx="10">
                  <c:v>15</c:v>
                </c:pt>
                <c:pt idx="11">
                  <c:v>15</c:v>
                </c:pt>
              </c:numCache>
            </c:numRef>
          </c:val>
          <c:smooth val="0"/>
          <c:extLst>
            <c:ext xmlns:c16="http://schemas.microsoft.com/office/drawing/2014/chart" uri="{C3380CC4-5D6E-409C-BE32-E72D297353CC}">
              <c16:uniqueId val="{00000000-EE28-4689-9DE8-DE34184E967D}"/>
            </c:ext>
          </c:extLst>
        </c:ser>
        <c:ser>
          <c:idx val="1"/>
          <c:order val="1"/>
          <c:tx>
            <c:strRef>
              <c:f>'3.ISC '!$H$25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'!$I$25:$T$25</c:f>
              <c:numCache>
                <c:formatCode>General</c:formatCode>
                <c:ptCount val="12"/>
                <c:pt idx="0">
                  <c:v>7</c:v>
                </c:pt>
                <c:pt idx="1">
                  <c:v>8</c:v>
                </c:pt>
                <c:pt idx="2">
                  <c:v>28</c:v>
                </c:pt>
                <c:pt idx="3">
                  <c:v>16</c:v>
                </c:pt>
                <c:pt idx="4">
                  <c:v>20</c:v>
                </c:pt>
                <c:pt idx="5">
                  <c:v>9</c:v>
                </c:pt>
                <c:pt idx="6">
                  <c:v>13</c:v>
                </c:pt>
              </c:numCache>
            </c:numRef>
          </c:val>
          <c:smooth val="0"/>
          <c:extLst>
            <c:ext xmlns:c16="http://schemas.microsoft.com/office/drawing/2014/chart" uri="{C3380CC4-5D6E-409C-BE32-E72D297353CC}">
              <c16:uniqueId val="{00000001-EE28-4689-9DE8-DE34184E967D}"/>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'3.ISC '!$X$11:$AI$11</c:f>
              <c:numCache>
                <c:formatCode>General</c:formatCode>
                <c:ptCount val="12"/>
                <c:pt idx="0">
                  <c:v>7</c:v>
                </c:pt>
                <c:pt idx="1">
                  <c:v>8</c:v>
                </c:pt>
                <c:pt idx="2">
                  <c:v>#N/A</c:v>
                </c:pt>
                <c:pt idx="3">
                  <c:v>#N/A</c:v>
                </c:pt>
                <c:pt idx="4">
                  <c:v>#N/A</c:v>
                </c:pt>
                <c:pt idx="5">
                  <c:v>9</c:v>
                </c:pt>
                <c:pt idx="6">
                  <c:v>13</c:v>
                </c:pt>
                <c:pt idx="7">
                  <c:v>#N/A</c:v>
                </c:pt>
                <c:pt idx="8">
                  <c:v>#N/A</c:v>
                </c:pt>
                <c:pt idx="9">
                  <c:v>#N/A</c:v>
                </c:pt>
                <c:pt idx="10">
                  <c:v>#N/A</c:v>
                </c:pt>
                <c:pt idx="11">
                  <c:v>#N/A</c:v>
                </c:pt>
              </c:numCache>
            </c:numRef>
          </c:val>
          <c:smooth val="0"/>
          <c:extLst>
            <c:ext xmlns:c16="http://schemas.microsoft.com/office/drawing/2014/chart" uri="{C3380CC4-5D6E-409C-BE32-E72D297353CC}">
              <c16:uniqueId val="{00000002-EE28-4689-9DE8-DE34184E967D}"/>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'3.ISC '!$X$12:$AI$12</c:f>
              <c:numCache>
                <c:formatCode>General</c:formatCode>
                <c:ptCount val="12"/>
                <c:pt idx="0">
                  <c:v>#N/A</c:v>
                </c:pt>
                <c:pt idx="1">
                  <c:v>#N/A</c:v>
                </c:pt>
                <c:pt idx="2">
                  <c:v>28</c:v>
                </c:pt>
                <c:pt idx="3">
                  <c:v>16</c:v>
                </c:pt>
                <c:pt idx="4">
                  <c:v>20</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EE28-4689-9DE8-DE34184E967D}"/>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'4.Procurement'!$H$14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'4.Procurement'!$I$14:$T$14</c:f>
              <c:numCache>
                <c:formatCode>General</c:formatCode>
                <c:ptCount val="12"/>
                <c:pt idx="0">
                  <c:v>15</c:v>
                </c:pt>
                <c:pt idx="1">
                  <c:v>10</c:v>
                </c:pt>
                <c:pt idx="2">
                  <c:v>15</c:v>
                </c:pt>
                <c:pt idx="3">
                  <c:v>22</c:v>
                </c:pt>
                <c:pt idx="4">
                  <c:v>1</c:v>
                </c:pt>
                <c:pt idx="5">
                  <c:v>10</c:v>
                </c:pt>
                <c:pt idx="6">
                  <c:v>1</c:v>
                </c:pt>
                <c:pt idx="7">
                  <c:v>0</c:v>
                </c:pt>
                <c:pt idx="8">
                  <c:v>0</c:v>
                </c:pt>
                <c:pt idx="9">
                  <c:v>0</c:v>
                </c:pt>
                <c:pt idx="10">
                  <c:v>0</c:v>
                </c:pt>
                <c:pt idx="11">
                  <c:v>0</c:v>
                </c:pt>
              </c:numCache>
            </c:numRef>
          </c:val>
          <c:smooth val="0"/>
          <c:extLst>
            <c:ext xmlns:c16="http://schemas.microsoft.com/office/drawing/2014/chart" uri="{C3380CC4-5D6E-409C-BE32-E72D297353CC}">
              <c16:uniqueId val="{00000000-13A8-4B7A-97AC-DE1B1EF868CA}"/>
            </c:ext>
          </c:extLst>
        </c:ser>
        <c:ser>
          <c:idx val="1"/>
          <c:order val="1"/>
          <c:tx>
            <c:strRef>
              <c:f>'4.Procurement'!$H$15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'4.Procurement'!$I$15:$T$15</c:f>
              <c:numCache>
                <c:formatCode>General</c:formatCode>
                <c:ptCount val="12"/>
                <c:pt idx="0">
                  <c:v>15</c:v>
                </c:pt>
                <c:pt idx="1">
                  <c:v>9</c:v>
                </c:pt>
                <c:pt idx="2">
                  <c:v>15</c:v>
                </c:pt>
                <c:pt idx="3">
                  <c:v>22</c:v>
                </c:pt>
                <c:pt idx="4">
                  <c:v>1</c:v>
                </c:pt>
                <c:pt idx="5">
                  <c:v>10</c:v>
                </c:pt>
                <c:pt idx="6">
                  <c:v>1</c:v>
                </c:pt>
              </c:numCache>
            </c:numRef>
          </c:val>
          <c:smooth val="0"/>
          <c:extLst>
            <c:ext xmlns:c16="http://schemas.microsoft.com/office/drawing/2014/chart" uri="{C3380CC4-5D6E-409C-BE32-E72D297353CC}">
              <c16:uniqueId val="{00000001-13A8-4B7A-97AC-DE1B1EF868CA}"/>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'4.Procurement'!$X$1:$AI$1</c:f>
              <c:numCache>
                <c:formatCode>General</c:formatCode>
                <c:ptCount val="12"/>
                <c:pt idx="0">
                  <c:v>15</c:v>
                </c:pt>
                <c:pt idx="1">
                  <c:v>#N/A</c:v>
                </c:pt>
                <c:pt idx="2">
                  <c:v>15</c:v>
                </c:pt>
                <c:pt idx="3">
                  <c:v>22</c:v>
                </c:pt>
                <c:pt idx="4">
                  <c:v>1</c:v>
                </c:pt>
                <c:pt idx="5">
                  <c:v>10</c:v>
                </c:pt>
                <c:pt idx="6">
                  <c:v>1</c:v>
                </c:pt>
                <c:pt idx="7">
                  <c:v>#N/A</c:v>
                </c:pt>
                <c:pt idx="8">
                  <c:v>#N/A</c:v>
                </c:pt>
                <c:pt idx="9">
                  <c:v>#N/A</c:v>
                </c:pt>
                <c:pt idx="10">
                  <c:v>#N/A</c:v>
                </c:pt>
                <c:pt idx="11">
                  <c:v>#N/A</c:v>
                </c:pt>
              </c:numCache>
            </c:numRef>
          </c:val>
          <c:smooth val="0"/>
          <c:extLst>
            <c:ext xmlns:c16="http://schemas.microsoft.com/office/drawing/2014/chart" uri="{C3380CC4-5D6E-409C-BE32-E72D297353CC}">
              <c16:uniqueId val="{00000002-13A8-4B7A-97AC-DE1B1EF868CA}"/>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'4.Procurement'!$X$2:$AI$2</c:f>
              <c:numCache>
                <c:formatCode>General</c:formatCode>
                <c:ptCount val="12"/>
                <c:pt idx="0">
                  <c:v>#N/A</c:v>
                </c:pt>
                <c:pt idx="1">
                  <c:v>9</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13A8-4B7A-97AC-DE1B1EF868CA}"/>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'4.Procurement'!$H$16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'4.Procurement'!$I$16:$T$16</c:f>
              <c:numCache>
                <c:formatCode>General</c:formatCode>
                <c:ptCount val="12"/>
                <c:pt idx="0">
                  <c:v>5</c:v>
                </c:pt>
                <c:pt idx="1">
                  <c:v>8</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AB29-4770-AAE4-9D8BD7346D4B}"/>
            </c:ext>
          </c:extLst>
        </c:ser>
        <c:ser>
          <c:idx val="1"/>
          <c:order val="1"/>
          <c:tx>
            <c:strRef>
              <c:f>'4.Procurement'!$H$17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'4.Procurement'!$I$17:$T$17</c:f>
              <c:numCache>
                <c:formatCode>General</c:formatCode>
                <c:ptCount val="12"/>
                <c:pt idx="0">
                  <c:v>5</c:v>
                </c:pt>
                <c:pt idx="1">
                  <c:v>7</c:v>
                </c:pt>
                <c:pt idx="2">
                  <c:v>0</c:v>
                </c:pt>
                <c:pt idx="3">
                  <c:v>0</c:v>
                </c:pt>
                <c:pt idx="4">
                  <c:v>0</c:v>
                </c:pt>
                <c:pt idx="5">
                  <c:v>0</c:v>
                </c:pt>
                <c:pt idx="6">
                  <c:v>0</c:v>
                </c:pt>
              </c:numCache>
            </c:numRef>
          </c:val>
          <c:smooth val="0"/>
          <c:extLst>
            <c:ext xmlns:c16="http://schemas.microsoft.com/office/drawing/2014/chart" uri="{C3380CC4-5D6E-409C-BE32-E72D297353CC}">
              <c16:uniqueId val="{00000001-AB29-4770-AAE4-9D8BD7346D4B}"/>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'4.Procurement'!$X$3:$AI$3</c:f>
              <c:numCache>
                <c:formatCode>General</c:formatCode>
                <c:ptCount val="12"/>
                <c:pt idx="0">
                  <c:v>5</c:v>
                </c:pt>
                <c:pt idx="1">
                  <c:v>#N/A</c:v>
                </c:pt>
                <c:pt idx="2">
                  <c:v>0</c:v>
                </c:pt>
                <c:pt idx="3">
                  <c:v>0</c:v>
                </c:pt>
                <c:pt idx="4">
                  <c:v>0</c:v>
                </c:pt>
                <c:pt idx="5">
                  <c:v>0</c:v>
                </c:pt>
                <c:pt idx="6">
                  <c:v>0</c:v>
                </c:pt>
                <c:pt idx="7">
                  <c:v>#N/A</c:v>
                </c:pt>
                <c:pt idx="8">
                  <c:v>#N/A</c:v>
                </c:pt>
                <c:pt idx="9">
                  <c:v>#N/A</c:v>
                </c:pt>
                <c:pt idx="10">
                  <c:v>#N/A</c:v>
                </c:pt>
                <c:pt idx="11">
                  <c:v>#N/A</c:v>
                </c:pt>
              </c:numCache>
            </c:numRef>
          </c:val>
          <c:smooth val="0"/>
          <c:extLst>
            <c:ext xmlns:c16="http://schemas.microsoft.com/office/drawing/2014/chart" uri="{C3380CC4-5D6E-409C-BE32-E72D297353CC}">
              <c16:uniqueId val="{00000002-AB29-4770-AAE4-9D8BD7346D4B}"/>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'4.Procurement'!$X$4:$AI$4</c:f>
              <c:numCache>
                <c:formatCode>General</c:formatCode>
                <c:ptCount val="12"/>
                <c:pt idx="0">
                  <c:v>#N/A</c:v>
                </c:pt>
                <c:pt idx="1">
                  <c:v>7</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AB29-4770-AAE4-9D8BD7346D4B}"/>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'4.Procurement'!$H$18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'4.Procurement'!$I$18:$T$18</c:f>
              <c:numCache>
                <c:formatCode>0%</c:formatCode>
                <c:ptCount val="12"/>
                <c:pt idx="0">
                  <c:v>0.8</c:v>
                </c:pt>
                <c:pt idx="1">
                  <c:v>0.8</c:v>
                </c:pt>
                <c:pt idx="2">
                  <c:v>0.8</c:v>
                </c:pt>
                <c:pt idx="3">
                  <c:v>0.8</c:v>
                </c:pt>
                <c:pt idx="4">
                  <c:v>0.8</c:v>
                </c:pt>
                <c:pt idx="5">
                  <c:v>0.8</c:v>
                </c:pt>
                <c:pt idx="6">
                  <c:v>0.8</c:v>
                </c:pt>
                <c:pt idx="7">
                  <c:v>0.8</c:v>
                </c:pt>
                <c:pt idx="8">
                  <c:v>0.8</c:v>
                </c:pt>
                <c:pt idx="9">
                  <c:v>0.8</c:v>
                </c:pt>
                <c:pt idx="10">
                  <c:v>0.8</c:v>
                </c:pt>
                <c:pt idx="11">
                  <c:v>0.8</c:v>
                </c:pt>
              </c:numCache>
            </c:numRef>
          </c:val>
          <c:smooth val="0"/>
          <c:extLst>
            <c:ext xmlns:c16="http://schemas.microsoft.com/office/drawing/2014/chart" uri="{C3380CC4-5D6E-409C-BE32-E72D297353CC}">
              <c16:uniqueId val="{00000000-9983-47A5-9805-98EDB4D36A72}"/>
            </c:ext>
          </c:extLst>
        </c:ser>
        <c:ser>
          <c:idx val="1"/>
          <c:order val="1"/>
          <c:tx>
            <c:strRef>
              <c:f>'4.Procurement'!$H$19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'4.Procurement'!$I$19:$T$19</c:f>
              <c:numCache>
                <c:formatCode>0%</c:formatCode>
                <c:ptCount val="12"/>
                <c:pt idx="0">
                  <c:v>0.93</c:v>
                </c:pt>
                <c:pt idx="1">
                  <c:v>0.89</c:v>
                </c:pt>
                <c:pt idx="2">
                  <c:v>0.88</c:v>
                </c:pt>
                <c:pt idx="3">
                  <c:v>0.84</c:v>
                </c:pt>
                <c:pt idx="4">
                  <c:v>0.93</c:v>
                </c:pt>
                <c:pt idx="5">
                  <c:v>0.93</c:v>
                </c:pt>
                <c:pt idx="6">
                  <c:v>1</c:v>
                </c:pt>
              </c:numCache>
            </c:numRef>
          </c:val>
          <c:smooth val="0"/>
          <c:extLst>
            <c:ext xmlns:c16="http://schemas.microsoft.com/office/drawing/2014/chart" uri="{C3380CC4-5D6E-409C-BE32-E72D297353CC}">
              <c16:uniqueId val="{00000001-9983-47A5-9805-98EDB4D36A72}"/>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'4.Procurement'!$X$5:$AI$5</c:f>
              <c:numCache>
                <c:formatCode>General</c:formatCode>
                <c:ptCount val="12"/>
                <c:pt idx="0">
                  <c:v>0.93</c:v>
                </c:pt>
                <c:pt idx="1">
                  <c:v>0.89</c:v>
                </c:pt>
                <c:pt idx="2">
                  <c:v>0.88</c:v>
                </c:pt>
                <c:pt idx="3">
                  <c:v>0.84</c:v>
                </c:pt>
                <c:pt idx="4">
                  <c:v>0.93</c:v>
                </c:pt>
                <c:pt idx="5">
                  <c:v>0.93</c:v>
                </c:pt>
                <c:pt idx="6">
                  <c:v>1</c:v>
                </c:pt>
                <c:pt idx="7">
                  <c:v>#N/A</c:v>
                </c:pt>
                <c:pt idx="8">
                  <c:v>#N/A</c:v>
                </c:pt>
                <c:pt idx="9">
                  <c:v>#N/A</c:v>
                </c:pt>
                <c:pt idx="10">
                  <c:v>#N/A</c:v>
                </c:pt>
                <c:pt idx="11">
                  <c:v>#N/A</c:v>
                </c:pt>
              </c:numCache>
            </c:numRef>
          </c:val>
          <c:smooth val="0"/>
          <c:extLst>
            <c:ext xmlns:c16="http://schemas.microsoft.com/office/drawing/2014/chart" uri="{C3380CC4-5D6E-409C-BE32-E72D297353CC}">
              <c16:uniqueId val="{00000002-9983-47A5-9805-98EDB4D36A72}"/>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'4.Procurement'!$X$6:$AI$6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9983-47A5-9805-98EDB4D36A72}"/>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'4.Procurement'!$H$20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'4.Procurement'!$I$20:$T$20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7AAB-48A0-8C02-C7247A5C0ACE}"/>
            </c:ext>
          </c:extLst>
        </c:ser>
        <c:ser>
          <c:idx val="1"/>
          <c:order val="1"/>
          <c:tx>
            <c:strRef>
              <c:f>'4.Procurement'!$H$21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'4.Procurement'!$I$21:$T$21</c:f>
              <c:numCache>
                <c:formatCode>0%</c:formatCode>
                <c:ptCount val="12"/>
              </c:numCache>
            </c:numRef>
          </c:val>
          <c:smooth val="0"/>
          <c:extLst>
            <c:ext xmlns:c16="http://schemas.microsoft.com/office/drawing/2014/chart" uri="{C3380CC4-5D6E-409C-BE32-E72D297353CC}">
              <c16:uniqueId val="{00000001-7AAB-48A0-8C02-C7247A5C0ACE}"/>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'4.Procurement'!$X$7:$AI$7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7AAB-48A0-8C02-C7247A5C0ACE}"/>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'4.Procurement'!$X$8:$AI$8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7AAB-48A0-8C02-C7247A5C0ACE}"/>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'5.R&amp;D '!$H$14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'!$I$14:$T$14</c:f>
              <c:numCache>
                <c:formatCode>General</c:formatCode>
                <c:ptCount val="12"/>
                <c:pt idx="0">
                  <c:v>60</c:v>
                </c:pt>
                <c:pt idx="1">
                  <c:v>65</c:v>
                </c:pt>
                <c:pt idx="2">
                  <c:v>68</c:v>
                </c:pt>
                <c:pt idx="3">
                  <c:v>70</c:v>
                </c:pt>
                <c:pt idx="4">
                  <c:v>72</c:v>
                </c:pt>
                <c:pt idx="5">
                  <c:v>75</c:v>
                </c:pt>
                <c:pt idx="6">
                  <c:v>75</c:v>
                </c:pt>
                <c:pt idx="7">
                  <c:v>75</c:v>
                </c:pt>
                <c:pt idx="8">
                  <c:v>80</c:v>
                </c:pt>
                <c:pt idx="9">
                  <c:v>85</c:v>
                </c:pt>
                <c:pt idx="10">
                  <c:v>90</c:v>
                </c:pt>
                <c:pt idx="11">
                  <c:v>100</c:v>
                </c:pt>
              </c:numCache>
            </c:numRef>
          </c:val>
          <c:smooth val="0"/>
          <c:extLst>
            <c:ext xmlns:c16="http://schemas.microsoft.com/office/drawing/2014/chart" uri="{C3380CC4-5D6E-409C-BE32-E72D297353CC}">
              <c16:uniqueId val="{00000000-2EFE-4EF9-82D3-0F1A56BD5634}"/>
            </c:ext>
          </c:extLst>
        </c:ser>
        <c:ser>
          <c:idx val="1"/>
          <c:order val="1"/>
          <c:tx>
            <c:strRef>
              <c:f>'5.R&amp;D '!$H$15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'!$I$15:$T$15</c:f>
              <c:numCache>
                <c:formatCode>General</c:formatCode>
                <c:ptCount val="12"/>
                <c:pt idx="0">
                  <c:v>54</c:v>
                </c:pt>
                <c:pt idx="1">
                  <c:v>58</c:v>
                </c:pt>
                <c:pt idx="2">
                  <c:v>64</c:v>
                </c:pt>
                <c:pt idx="3">
                  <c:v>68</c:v>
                </c:pt>
                <c:pt idx="4">
                  <c:v>68</c:v>
                </c:pt>
                <c:pt idx="5">
                  <c:v>73</c:v>
                </c:pt>
                <c:pt idx="6">
                  <c:v>75</c:v>
                </c:pt>
                <c:pt idx="7">
                  <c:v>75</c:v>
                </c:pt>
              </c:numCache>
            </c:numRef>
          </c:val>
          <c:smooth val="0"/>
          <c:extLst>
            <c:ext xmlns:c16="http://schemas.microsoft.com/office/drawing/2014/chart" uri="{C3380CC4-5D6E-409C-BE32-E72D297353CC}">
              <c16:uniqueId val="{00000001-2EFE-4EF9-82D3-0F1A56BD5634}"/>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'5.R&amp;D '!$X$1:$AI$1</c:f>
              <c:numCache>
                <c:formatCode>General</c:formatCode>
                <c:ptCount val="12"/>
                <c:pt idx="0">
                  <c:v>#N/A</c:v>
                </c:pt>
                <c:pt idx="1">
                  <c:v>#N/A</c:v>
                </c:pt>
                <c:pt idx="2">
                  <c:v>#N/A</c:v>
                </c:pt>
                <c:pt idx="3">
                  <c:v>#N/A</c:v>
                </c:pt>
                <c:pt idx="4">
                  <c:v>#N/A</c:v>
                </c:pt>
                <c:pt idx="5">
                  <c:v>#N/A</c:v>
                </c:pt>
                <c:pt idx="6">
                  <c:v>75</c:v>
                </c:pt>
                <c:pt idx="7">
                  <c:v>75</c:v>
                </c:pt>
                <c:pt idx="8">
                  <c:v>#N/A</c:v>
                </c:pt>
                <c:pt idx="9">
                  <c:v>#N/A</c:v>
                </c:pt>
                <c:pt idx="10">
                  <c:v>#N/A</c:v>
                </c:pt>
                <c:pt idx="11">
                  <c:v>#N/A</c:v>
                </c:pt>
              </c:numCache>
            </c:numRef>
          </c:val>
          <c:smooth val="0"/>
          <c:extLst>
            <c:ext xmlns:c16="http://schemas.microsoft.com/office/drawing/2014/chart" uri="{C3380CC4-5D6E-409C-BE32-E72D297353CC}">
              <c16:uniqueId val="{00000002-2EFE-4EF9-82D3-0F1A56BD5634}"/>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'5.R&amp;D '!$X$2:$AI$2</c:f>
              <c:numCache>
                <c:formatCode>General</c:formatCode>
                <c:ptCount val="12"/>
                <c:pt idx="0">
                  <c:v>54</c:v>
                </c:pt>
                <c:pt idx="1">
                  <c:v>58</c:v>
                </c:pt>
                <c:pt idx="2">
                  <c:v>64</c:v>
                </c:pt>
                <c:pt idx="3">
                  <c:v>68</c:v>
                </c:pt>
                <c:pt idx="4">
                  <c:v>68</c:v>
                </c:pt>
                <c:pt idx="5">
                  <c:v>73</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2EFE-4EF9-82D3-0F1A56BD5634}"/>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'5.R&amp;D '!$H$16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'!$I$16:$T$16</c:f>
              <c:numCache>
                <c:formatCode>General</c:formatCode>
                <c:ptCount val="12"/>
                <c:pt idx="0">
                  <c:v>95</c:v>
                </c:pt>
                <c:pt idx="1">
                  <c:v>95</c:v>
                </c:pt>
                <c:pt idx="2">
                  <c:v>95</c:v>
                </c:pt>
                <c:pt idx="3">
                  <c:v>95</c:v>
                </c:pt>
                <c:pt idx="4">
                  <c:v>95</c:v>
                </c:pt>
                <c:pt idx="5">
                  <c:v>95</c:v>
                </c:pt>
                <c:pt idx="6">
                  <c:v>95</c:v>
                </c:pt>
                <c:pt idx="7">
                  <c:v>95</c:v>
                </c:pt>
                <c:pt idx="8">
                  <c:v>95</c:v>
                </c:pt>
                <c:pt idx="9">
                  <c:v>95</c:v>
                </c:pt>
                <c:pt idx="10">
                  <c:v>95</c:v>
                </c:pt>
                <c:pt idx="11">
                  <c:v>95</c:v>
                </c:pt>
              </c:numCache>
            </c:numRef>
          </c:val>
          <c:smooth val="0"/>
          <c:extLst>
            <c:ext xmlns:c16="http://schemas.microsoft.com/office/drawing/2014/chart" uri="{C3380CC4-5D6E-409C-BE32-E72D297353CC}">
              <c16:uniqueId val="{00000000-11C0-4CDE-865D-4DE7F5DF06B8}"/>
            </c:ext>
          </c:extLst>
        </c:ser>
        <c:ser>
          <c:idx val="1"/>
          <c:order val="1"/>
          <c:tx>
            <c:strRef>
              <c:f>'5.R&amp;D '!$H$17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'!$I$17:$T$17</c:f>
              <c:numCache>
                <c:formatCode>General</c:formatCode>
                <c:ptCount val="12"/>
                <c:pt idx="0">
                  <c:v>100</c:v>
                </c:pt>
                <c:pt idx="1">
                  <c:v>90</c:v>
                </c:pt>
                <c:pt idx="2">
                  <c:v>95</c:v>
                </c:pt>
                <c:pt idx="3">
                  <c:v>93</c:v>
                </c:pt>
                <c:pt idx="4">
                  <c:v>94</c:v>
                </c:pt>
                <c:pt idx="5">
                  <c:v>90</c:v>
                </c:pt>
                <c:pt idx="6">
                  <c:v>95</c:v>
                </c:pt>
                <c:pt idx="7">
                  <c:v>95</c:v>
                </c:pt>
              </c:numCache>
            </c:numRef>
          </c:val>
          <c:smooth val="0"/>
          <c:extLst>
            <c:ext xmlns:c16="http://schemas.microsoft.com/office/drawing/2014/chart" uri="{C3380CC4-5D6E-409C-BE32-E72D297353CC}">
              <c16:uniqueId val="{00000001-11C0-4CDE-865D-4DE7F5DF06B8}"/>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'5.R&amp;D '!$X$3:$AI$3</c:f>
              <c:numCache>
                <c:formatCode>General</c:formatCode>
                <c:ptCount val="12"/>
                <c:pt idx="0">
                  <c:v>100</c:v>
                </c:pt>
                <c:pt idx="1">
                  <c:v>#N/A</c:v>
                </c:pt>
                <c:pt idx="2">
                  <c:v>95</c:v>
                </c:pt>
                <c:pt idx="3">
                  <c:v>#N/A</c:v>
                </c:pt>
                <c:pt idx="4">
                  <c:v>#N/A</c:v>
                </c:pt>
                <c:pt idx="5">
                  <c:v>#N/A</c:v>
                </c:pt>
                <c:pt idx="6">
                  <c:v>95</c:v>
                </c:pt>
                <c:pt idx="7">
                  <c:v>95</c:v>
                </c:pt>
                <c:pt idx="8">
                  <c:v>#N/A</c:v>
                </c:pt>
                <c:pt idx="9">
                  <c:v>#N/A</c:v>
                </c:pt>
                <c:pt idx="10">
                  <c:v>#N/A</c:v>
                </c:pt>
                <c:pt idx="11">
                  <c:v>#N/A</c:v>
                </c:pt>
              </c:numCache>
            </c:numRef>
          </c:val>
          <c:smooth val="0"/>
          <c:extLst>
            <c:ext xmlns:c16="http://schemas.microsoft.com/office/drawing/2014/chart" uri="{C3380CC4-5D6E-409C-BE32-E72D297353CC}">
              <c16:uniqueId val="{00000002-11C0-4CDE-865D-4DE7F5DF06B8}"/>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'5.R&amp;D '!$X$4:$AI$4</c:f>
              <c:numCache>
                <c:formatCode>General</c:formatCode>
                <c:ptCount val="12"/>
                <c:pt idx="0">
                  <c:v>#N/A</c:v>
                </c:pt>
                <c:pt idx="1">
                  <c:v>90</c:v>
                </c:pt>
                <c:pt idx="2">
                  <c:v>#N/A</c:v>
                </c:pt>
                <c:pt idx="3">
                  <c:v>93</c:v>
                </c:pt>
                <c:pt idx="4">
                  <c:v>94</c:v>
                </c:pt>
                <c:pt idx="5">
                  <c:v>90</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11C0-4CDE-865D-4DE7F5DF06B8}"/>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min val="8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minorUnit val="2"/>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'5.R&amp;D '!$H$18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'!$I$18:$T$18</c:f>
              <c:numCache>
                <c:formatCode>General</c:formatCode>
                <c:ptCount val="12"/>
                <c:pt idx="0">
                  <c:v>10</c:v>
                </c:pt>
                <c:pt idx="1">
                  <c:v>20</c:v>
                </c:pt>
                <c:pt idx="2">
                  <c:v>40</c:v>
                </c:pt>
                <c:pt idx="3">
                  <c:v>50</c:v>
                </c:pt>
                <c:pt idx="4">
                  <c:v>68</c:v>
                </c:pt>
                <c:pt idx="5">
                  <c:v>82</c:v>
                </c:pt>
                <c:pt idx="6">
                  <c:v>82</c:v>
                </c:pt>
                <c:pt idx="7">
                  <c:v>85</c:v>
                </c:pt>
                <c:pt idx="8">
                  <c:v>85</c:v>
                </c:pt>
              </c:numCache>
            </c:numRef>
          </c:val>
          <c:smooth val="0"/>
          <c:extLst>
            <c:ext xmlns:c16="http://schemas.microsoft.com/office/drawing/2014/chart" uri="{C3380CC4-5D6E-409C-BE32-E72D297353CC}">
              <c16:uniqueId val="{00000000-2CC2-4292-B697-E8CB519703A8}"/>
            </c:ext>
          </c:extLst>
        </c:ser>
        <c:ser>
          <c:idx val="1"/>
          <c:order val="1"/>
          <c:tx>
            <c:strRef>
              <c:f>'5.R&amp;D '!$H$19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'!$I$19:$T$19</c:f>
              <c:numCache>
                <c:formatCode>General</c:formatCode>
                <c:ptCount val="12"/>
                <c:pt idx="0">
                  <c:v>5</c:v>
                </c:pt>
                <c:pt idx="1">
                  <c:v>6</c:v>
                </c:pt>
                <c:pt idx="2">
                  <c:v>7</c:v>
                </c:pt>
                <c:pt idx="3">
                  <c:v>18</c:v>
                </c:pt>
                <c:pt idx="4">
                  <c:v>33</c:v>
                </c:pt>
                <c:pt idx="5">
                  <c:v>64</c:v>
                </c:pt>
                <c:pt idx="6">
                  <c:v>64</c:v>
                </c:pt>
                <c:pt idx="7">
                  <c:v>68</c:v>
                </c:pt>
              </c:numCache>
            </c:numRef>
          </c:val>
          <c:smooth val="0"/>
          <c:extLst>
            <c:ext xmlns:c16="http://schemas.microsoft.com/office/drawing/2014/chart" uri="{C3380CC4-5D6E-409C-BE32-E72D297353CC}">
              <c16:uniqueId val="{00000001-2CC2-4292-B697-E8CB519703A8}"/>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'5.R&amp;D '!$X$5:$AI$5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2CC2-4292-B697-E8CB519703A8}"/>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'5.R&amp;D '!$X$6:$AI$6</c:f>
              <c:numCache>
                <c:formatCode>General</c:formatCode>
                <c:ptCount val="12"/>
                <c:pt idx="0">
                  <c:v>5</c:v>
                </c:pt>
                <c:pt idx="1">
                  <c:v>6</c:v>
                </c:pt>
                <c:pt idx="2">
                  <c:v>7</c:v>
                </c:pt>
                <c:pt idx="3">
                  <c:v>18</c:v>
                </c:pt>
                <c:pt idx="4">
                  <c:v>33</c:v>
                </c:pt>
                <c:pt idx="5">
                  <c:v>64</c:v>
                </c:pt>
                <c:pt idx="6">
                  <c:v>64</c:v>
                </c:pt>
                <c:pt idx="7">
                  <c:v>68</c:v>
                </c:pt>
                <c:pt idx="8">
                  <c:v>#N/A</c:v>
                </c:pt>
                <c:pt idx="9">
                  <c:v>#N/A</c:v>
                </c:pt>
                <c:pt idx="10">
                  <c:v>#N/A</c:v>
                </c:pt>
                <c:pt idx="11">
                  <c:v>#N/A</c:v>
                </c:pt>
              </c:numCache>
            </c:numRef>
          </c:val>
          <c:smooth val="0"/>
          <c:extLst>
            <c:ext xmlns:c16="http://schemas.microsoft.com/office/drawing/2014/chart" uri="{C3380CC4-5D6E-409C-BE32-E72D297353CC}">
              <c16:uniqueId val="{00000003-2CC2-4292-B697-E8CB519703A8}"/>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'5.R&amp;D '!$H$26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'!$I$26:$T$26</c:f>
              <c:numCache>
                <c:formatCode>General</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97F3-48C9-AFB6-58DE02181085}"/>
            </c:ext>
          </c:extLst>
        </c:ser>
        <c:ser>
          <c:idx val="1"/>
          <c:order val="1"/>
          <c:tx>
            <c:strRef>
              <c:f>'5.R&amp;D '!$H$27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'!$I$27:$T$27</c:f>
              <c:numCache>
                <c:formatCode>General</c:formatCode>
                <c:ptCount val="12"/>
                <c:pt idx="0">
                  <c:v>86</c:v>
                </c:pt>
                <c:pt idx="1">
                  <c:v>88</c:v>
                </c:pt>
                <c:pt idx="2">
                  <c:v>100</c:v>
                </c:pt>
                <c:pt idx="3">
                  <c:v>100</c:v>
                </c:pt>
                <c:pt idx="4">
                  <c:v>87.5</c:v>
                </c:pt>
                <c:pt idx="5">
                  <c:v>100</c:v>
                </c:pt>
                <c:pt idx="6">
                  <c:v>100</c:v>
                </c:pt>
              </c:numCache>
            </c:numRef>
          </c:val>
          <c:smooth val="0"/>
          <c:extLst>
            <c:ext xmlns:c16="http://schemas.microsoft.com/office/drawing/2014/chart" uri="{C3380CC4-5D6E-409C-BE32-E72D297353CC}">
              <c16:uniqueId val="{00000001-97F3-48C9-AFB6-58DE02181085}"/>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'5.R&amp;D '!$X$7:$AI$7</c:f>
              <c:numCache>
                <c:formatCode>General</c:formatCode>
                <c:ptCount val="12"/>
                <c:pt idx="0">
                  <c:v>86</c:v>
                </c:pt>
                <c:pt idx="1">
                  <c:v>88</c:v>
                </c:pt>
                <c:pt idx="2">
                  <c:v>100</c:v>
                </c:pt>
                <c:pt idx="3">
                  <c:v>100</c:v>
                </c:pt>
                <c:pt idx="4">
                  <c:v>87.5</c:v>
                </c:pt>
                <c:pt idx="5">
                  <c:v>100</c:v>
                </c:pt>
                <c:pt idx="6">
                  <c:v>100</c:v>
                </c:pt>
                <c:pt idx="7">
                  <c:v>#N/A</c:v>
                </c:pt>
                <c:pt idx="8">
                  <c:v>#N/A</c:v>
                </c:pt>
                <c:pt idx="9">
                  <c:v>#N/A</c:v>
                </c:pt>
                <c:pt idx="10">
                  <c:v>#N/A</c:v>
                </c:pt>
                <c:pt idx="11">
                  <c:v>#N/A</c:v>
                </c:pt>
              </c:numCache>
            </c:numRef>
          </c:val>
          <c:smooth val="0"/>
          <c:extLst>
            <c:ext xmlns:c16="http://schemas.microsoft.com/office/drawing/2014/chart" uri="{C3380CC4-5D6E-409C-BE32-E72D297353CC}">
              <c16:uniqueId val="{00000002-97F3-48C9-AFB6-58DE02181085}"/>
            </c:ext>
          </c:extLst>
        </c:ser>
        <c:ser>
          <c:idx val="3"/>
          <c:order val="3"/>
          <c:tx>
            <c:v>red</c:v>
          </c:tx>
          <c:spPr>
            <a:ln w="28575" cap="rnd">
              <a:noFill/>
              <a:round/>
            </a:ln>
            <a:effectLst/>
          </c:spPr>
          <c:marker>
            <c:symbol val="none"/>
          </c:marker>
          <c:val>
            <c:numRef>
              <c:f>'[1]6'!#REF!</c:f>
              <c:numCache>
                <c:formatCode>General</c:formatCode>
                <c:ptCount val="1"/>
                <c:pt idx="0">
                  <c:v>1</c:v>
                </c:pt>
              </c:numCache>
            </c:numRef>
          </c:val>
          <c:smooth val="0"/>
          <c:extLst>
            <c:ext xmlns:c16="http://schemas.microsoft.com/office/drawing/2014/chart" uri="{C3380CC4-5D6E-409C-BE32-E72D297353CC}">
              <c16:uniqueId val="{00000003-97F3-48C9-AFB6-58DE02181085}"/>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'6. Marketing'!$H$14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'6. Marketing'!$I$13:$T$13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'6. Marketing'!$I$14:$T$14</c:f>
              <c:numCache>
                <c:formatCode>0</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1557-4B99-A963-09BD763050E3}"/>
            </c:ext>
          </c:extLst>
        </c:ser>
        <c:ser>
          <c:idx val="1"/>
          <c:order val="1"/>
          <c:tx>
            <c:strRef>
              <c:f>'6. Marketing'!$H$15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dLbls>
            <c:dLbl>
              <c:idx val="0"/>
              <c:layout>
                <c:manualLayout>
                  <c:x val="-4.9205912942825988E-2"/>
                  <c:y val="7.25762237862143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57-4B99-A963-09BD763050E3}"/>
                </c:ext>
              </c:extLst>
            </c:dLbl>
            <c:dLbl>
              <c:idx val="1"/>
              <c:layout>
                <c:manualLayout>
                  <c:x val="-2.4602956471412987E-2"/>
                  <c:y val="9.07202797327680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557-4B99-A963-09BD763050E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'6. Marketing'!$I$13:$T$13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'6. Marketing'!$I$15:$T$15</c:f>
              <c:numCache>
                <c:formatCode>0</c:formatCode>
                <c:ptCount val="12"/>
                <c:pt idx="0">
                  <c:v>90</c:v>
                </c:pt>
                <c:pt idx="1">
                  <c:v>90</c:v>
                </c:pt>
                <c:pt idx="2">
                  <c:v>80</c:v>
                </c:pt>
                <c:pt idx="3">
                  <c:v>100</c:v>
                </c:pt>
                <c:pt idx="4">
                  <c:v>90</c:v>
                </c:pt>
                <c:pt idx="5">
                  <c:v>83</c:v>
                </c:pt>
                <c:pt idx="6">
                  <c:v>77</c:v>
                </c:pt>
              </c:numCache>
            </c:numRef>
          </c:val>
          <c:smooth val="0"/>
          <c:extLst>
            <c:ext xmlns:c16="http://schemas.microsoft.com/office/drawing/2014/chart" uri="{C3380CC4-5D6E-409C-BE32-E72D297353CC}">
              <c16:uniqueId val="{00000003-1557-4B99-A963-09BD763050E3}"/>
            </c:ext>
          </c:extLst>
        </c:ser>
        <c:dLbls>
          <c:showLegendKey val="0"/>
          <c:showVal val="0"/>
          <c:showCatName val="0"/>
          <c:showSerName val="0"/>
          <c:showPercent val="0"/>
          <c:showBubbleSize val="0"/>
        </c:dLbls>
        <c:marker val="1"/>
        <c:smooth val="0"/>
        <c:axId val="1854575263"/>
        <c:axId val="1854589663"/>
        <c:extLst>
          <c:ext xmlns:c15="http://schemas.microsoft.com/office/drawing/2012/chart" uri="{02D57815-91ED-43cb-92C2-25804820EDAC}">
            <c15:filteredLineSeries>
              <c15: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extLst>
                      <c:ext uri="{02D57815-91ED-43cb-92C2-25804820EDAC}">
                        <c15:formulaRef>
                          <c15:sqref>'6. Marketing'!$X$1:$AI$1</c15:sqref>
                        </c15:formulaRef>
                      </c:ext>
                    </c:extLst>
                    <c:numCache>
                      <c:formatCode>General</c:formatCode>
                      <c:ptCount val="12"/>
                      <c:pt idx="0">
                        <c:v>90</c:v>
                      </c:pt>
                      <c:pt idx="1">
                        <c:v>90</c:v>
                      </c:pt>
                      <c:pt idx="2">
                        <c:v>80</c:v>
                      </c:pt>
                      <c:pt idx="3">
                        <c:v>100</c:v>
                      </c:pt>
                      <c:pt idx="4">
                        <c:v>90</c:v>
                      </c:pt>
                      <c:pt idx="5">
                        <c:v>83</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4-1557-4B99-A963-09BD763050E3}"/>
                  </c:ext>
                </c:extLst>
              </c15:ser>
            </c15:filteredLineSeries>
            <c15:filteredLineSeries>
              <c15: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extLst xmlns:c15="http://schemas.microsoft.com/office/drawing/2012/chart">
                      <c:ext xmlns:c15="http://schemas.microsoft.com/office/drawing/2012/chart" uri="{02D57815-91ED-43cb-92C2-25804820EDAC}">
                        <c15:formulaRef>
                          <c15:sqref>'6. Marketing'!$X$2:$AI$2</c15:sqref>
                        </c15:formulaRef>
                      </c:ext>
                    </c:extLst>
                    <c:numCache>
                      <c:formatCode>General</c:formatCode>
                      <c:ptCount val="12"/>
                      <c:pt idx="0">
                        <c:v>#N/A</c:v>
                      </c:pt>
                      <c:pt idx="1">
                        <c:v>#N/A</c:v>
                      </c:pt>
                      <c:pt idx="2">
                        <c:v>#N/A</c:v>
                      </c:pt>
                      <c:pt idx="3">
                        <c:v>#N/A</c:v>
                      </c:pt>
                      <c:pt idx="4">
                        <c:v>#N/A</c:v>
                      </c:pt>
                      <c:pt idx="5">
                        <c:v>#N/A</c:v>
                      </c:pt>
                      <c:pt idx="6">
                        <c:v>77</c:v>
                      </c:pt>
                      <c:pt idx="7">
                        <c:v>#N/A</c:v>
                      </c:pt>
                      <c:pt idx="8">
                        <c:v>#N/A</c:v>
                      </c:pt>
                      <c:pt idx="9">
                        <c:v>#N/A</c:v>
                      </c:pt>
                      <c:pt idx="10">
                        <c:v>#N/A</c:v>
                      </c:pt>
                      <c:pt idx="11">
                        <c:v>#N/A</c:v>
                      </c:pt>
                    </c:numCache>
                  </c:numRef>
                </c:val>
                <c:smooth val="0"/>
                <c:extLst xmlns:c15="http://schemas.microsoft.com/office/drawing/2012/chart">
                  <c:ext xmlns:c16="http://schemas.microsoft.com/office/drawing/2014/chart" uri="{C3380CC4-5D6E-409C-BE32-E72D297353CC}">
                    <c16:uniqueId val="{00000005-1557-4B99-A963-09BD763050E3}"/>
                  </c:ext>
                </c:extLst>
              </c15:ser>
            </c15:filteredLineSeries>
          </c:ext>
        </c:extLst>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'6. Marketing'!$H$16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'6. Marketing'!$I$13:$T$13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'6. Marketing'!$I$16:$T$16</c:f>
              <c:numCache>
                <c:formatCode>General</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BB70-470D-8C42-E042995EC13D}"/>
            </c:ext>
          </c:extLst>
        </c:ser>
        <c:ser>
          <c:idx val="1"/>
          <c:order val="1"/>
          <c:tx>
            <c:strRef>
              <c:f>'6. Marketing'!$H$17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'6. Marketing'!$I$13:$T$13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'6. Marketing'!$I$17:$T$17</c:f>
              <c:numCache>
                <c:formatCode>General</c:formatCode>
                <c:ptCount val="12"/>
                <c:pt idx="0">
                  <c:v>0</c:v>
                </c:pt>
                <c:pt idx="1">
                  <c:v>86</c:v>
                </c:pt>
                <c:pt idx="2">
                  <c:v>84</c:v>
                </c:pt>
                <c:pt idx="3">
                  <c:v>92</c:v>
                </c:pt>
                <c:pt idx="4">
                  <c:v>87</c:v>
                </c:pt>
                <c:pt idx="5">
                  <c:v>88</c:v>
                </c:pt>
                <c:pt idx="6">
                  <c:v>84</c:v>
                </c:pt>
              </c:numCache>
            </c:numRef>
          </c:val>
          <c:smooth val="0"/>
          <c:extLst>
            <c:ext xmlns:c16="http://schemas.microsoft.com/office/drawing/2014/chart" uri="{C3380CC4-5D6E-409C-BE32-E72D297353CC}">
              <c16:uniqueId val="{00000001-BB70-470D-8C42-E042995EC13D}"/>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'6. Marketing'!$X$3:$AI$3</c:f>
              <c:numCache>
                <c:formatCode>General</c:formatCode>
                <c:ptCount val="12"/>
                <c:pt idx="0">
                  <c:v>#N/A</c:v>
                </c:pt>
                <c:pt idx="1">
                  <c:v>86</c:v>
                </c:pt>
                <c:pt idx="2">
                  <c:v>84</c:v>
                </c:pt>
                <c:pt idx="3">
                  <c:v>92</c:v>
                </c:pt>
                <c:pt idx="4">
                  <c:v>87</c:v>
                </c:pt>
                <c:pt idx="5">
                  <c:v>88</c:v>
                </c:pt>
                <c:pt idx="6">
                  <c:v>84</c:v>
                </c:pt>
                <c:pt idx="7">
                  <c:v>#N/A</c:v>
                </c:pt>
                <c:pt idx="8">
                  <c:v>#N/A</c:v>
                </c:pt>
                <c:pt idx="9">
                  <c:v>#N/A</c:v>
                </c:pt>
                <c:pt idx="10">
                  <c:v>#N/A</c:v>
                </c:pt>
                <c:pt idx="11">
                  <c:v>#N/A</c:v>
                </c:pt>
              </c:numCache>
            </c:numRef>
          </c:val>
          <c:smooth val="0"/>
          <c:extLst>
            <c:ext xmlns:c16="http://schemas.microsoft.com/office/drawing/2014/chart" uri="{C3380CC4-5D6E-409C-BE32-E72D297353CC}">
              <c16:uniqueId val="{00000002-BB70-470D-8C42-E042995EC13D}"/>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'6. Marketing'!$X$4:$AI$4</c:f>
              <c:numCache>
                <c:formatCode>General</c:formatCode>
                <c:ptCount val="12"/>
                <c:pt idx="0">
                  <c:v>0</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B70-470D-8C42-E042995EC13D}"/>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'6. Marketing'!$H$18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'6. Marketing'!$I$13:$T$13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'6. Marketing'!$I$18:$T$18</c:f>
              <c:numCache>
                <c:formatCode>General</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70AB-4A93-96EF-42AF6D645FD0}"/>
            </c:ext>
          </c:extLst>
        </c:ser>
        <c:ser>
          <c:idx val="1"/>
          <c:order val="1"/>
          <c:tx>
            <c:strRef>
              <c:f>'6. Marketing'!$H$19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'6. Marketing'!$I$13:$T$13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'6. Marketing'!$I$19:$T$19</c:f>
              <c:numCache>
                <c:formatCode>General</c:formatCode>
                <c:ptCount val="12"/>
                <c:pt idx="0">
                  <c:v>100</c:v>
                </c:pt>
                <c:pt idx="1">
                  <c:v>100</c:v>
                </c:pt>
                <c:pt idx="2">
                  <c:v>60</c:v>
                </c:pt>
                <c:pt idx="3">
                  <c:v>100</c:v>
                </c:pt>
                <c:pt idx="4">
                  <c:v>100</c:v>
                </c:pt>
                <c:pt idx="5">
                  <c:v>89</c:v>
                </c:pt>
                <c:pt idx="6">
                  <c:v>89</c:v>
                </c:pt>
              </c:numCache>
            </c:numRef>
          </c:val>
          <c:smooth val="0"/>
          <c:extLst>
            <c:ext xmlns:c16="http://schemas.microsoft.com/office/drawing/2014/chart" uri="{C3380CC4-5D6E-409C-BE32-E72D297353CC}">
              <c16:uniqueId val="{00000001-70AB-4A93-96EF-42AF6D645FD0}"/>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'6. Marketing'!$X$5:$AI$5</c:f>
              <c:numCache>
                <c:formatCode>General</c:formatCode>
                <c:ptCount val="12"/>
                <c:pt idx="0">
                  <c:v>100</c:v>
                </c:pt>
                <c:pt idx="1">
                  <c:v>100</c:v>
                </c:pt>
                <c:pt idx="2">
                  <c:v>#N/A</c:v>
                </c:pt>
                <c:pt idx="3">
                  <c:v>100</c:v>
                </c:pt>
                <c:pt idx="4">
                  <c:v>100</c:v>
                </c:pt>
                <c:pt idx="5">
                  <c:v>89</c:v>
                </c:pt>
                <c:pt idx="6">
                  <c:v>89</c:v>
                </c:pt>
                <c:pt idx="7">
                  <c:v>#N/A</c:v>
                </c:pt>
                <c:pt idx="8">
                  <c:v>#N/A</c:v>
                </c:pt>
                <c:pt idx="9">
                  <c:v>#N/A</c:v>
                </c:pt>
                <c:pt idx="10">
                  <c:v>#N/A</c:v>
                </c:pt>
                <c:pt idx="11">
                  <c:v>#N/A</c:v>
                </c:pt>
              </c:numCache>
            </c:numRef>
          </c:val>
          <c:smooth val="0"/>
          <c:extLst>
            <c:ext xmlns:c16="http://schemas.microsoft.com/office/drawing/2014/chart" uri="{C3380CC4-5D6E-409C-BE32-E72D297353CC}">
              <c16:uniqueId val="{00000002-70AB-4A93-96EF-42AF6D645FD0}"/>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'6. Marketing'!$X$6:$AI$6</c:f>
              <c:numCache>
                <c:formatCode>General</c:formatCode>
                <c:ptCount val="12"/>
                <c:pt idx="0">
                  <c:v>#N/A</c:v>
                </c:pt>
                <c:pt idx="1">
                  <c:v>#N/A</c:v>
                </c:pt>
                <c:pt idx="2">
                  <c:v>60</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70AB-4A93-96EF-42AF6D645FD0}"/>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'Marketing June'!$H$14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'Marketing June'!$I$13:$T$13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'Marketing June'!$I$14:$T$14</c:f>
              <c:numCache>
                <c:formatCode>0</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76A9-4F98-8D58-9764E3DD2ADB}"/>
            </c:ext>
          </c:extLst>
        </c:ser>
        <c:ser>
          <c:idx val="1"/>
          <c:order val="1"/>
          <c:tx>
            <c:strRef>
              <c:f>'Marketing June'!$H$15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dLbls>
            <c:dLbl>
              <c:idx val="0"/>
              <c:layout>
                <c:manualLayout>
                  <c:x val="-4.9205912942825988E-2"/>
                  <c:y val="7.25762237862143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6A9-4F98-8D58-9764E3DD2ADB}"/>
                </c:ext>
              </c:extLst>
            </c:dLbl>
            <c:dLbl>
              <c:idx val="1"/>
              <c:layout>
                <c:manualLayout>
                  <c:x val="-2.4602956471412987E-2"/>
                  <c:y val="9.07202797327680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6A9-4F98-8D58-9764E3DD2A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'Marketing June'!$I$13:$T$13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'Marketing June'!$I$15:$T$15</c:f>
              <c:numCache>
                <c:formatCode>0</c:formatCode>
                <c:ptCount val="12"/>
                <c:pt idx="0">
                  <c:v>90</c:v>
                </c:pt>
                <c:pt idx="1">
                  <c:v>90</c:v>
                </c:pt>
                <c:pt idx="2">
                  <c:v>80</c:v>
                </c:pt>
                <c:pt idx="3">
                  <c:v>100</c:v>
                </c:pt>
                <c:pt idx="4">
                  <c:v>90</c:v>
                </c:pt>
                <c:pt idx="5">
                  <c:v>83</c:v>
                </c:pt>
              </c:numCache>
            </c:numRef>
          </c:val>
          <c:smooth val="0"/>
          <c:extLst>
            <c:ext xmlns:c16="http://schemas.microsoft.com/office/drawing/2014/chart" uri="{C3380CC4-5D6E-409C-BE32-E72D297353CC}">
              <c16:uniqueId val="{00000003-76A9-4F98-8D58-9764E3DD2ADB}"/>
            </c:ext>
          </c:extLst>
        </c:ser>
        <c:dLbls>
          <c:showLegendKey val="0"/>
          <c:showVal val="0"/>
          <c:showCatName val="0"/>
          <c:showSerName val="0"/>
          <c:showPercent val="0"/>
          <c:showBubbleSize val="0"/>
        </c:dLbls>
        <c:marker val="1"/>
        <c:smooth val="0"/>
        <c:axId val="1854575263"/>
        <c:axId val="1854589663"/>
        <c:extLst>
          <c:ext xmlns:c15="http://schemas.microsoft.com/office/drawing/2012/chart" uri="{02D57815-91ED-43cb-92C2-25804820EDAC}">
            <c15:filteredLineSeries>
              <c15: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extLst>
                      <c:ext uri="{02D57815-91ED-43cb-92C2-25804820EDAC}">
                        <c15:formulaRef>
                          <c15:sqref>'Marketing June'!$X$1:$AI$1</c15:sqref>
                        </c15:formulaRef>
                      </c:ext>
                    </c:extLst>
                    <c:numCache>
                      <c:formatCode>General</c:formatCode>
                      <c:ptCount val="12"/>
                      <c:pt idx="0">
                        <c:v>90</c:v>
                      </c:pt>
                      <c:pt idx="1">
                        <c:v>90</c:v>
                      </c:pt>
                      <c:pt idx="2">
                        <c:v>80</c:v>
                      </c:pt>
                      <c:pt idx="3">
                        <c:v>100</c:v>
                      </c:pt>
                      <c:pt idx="4">
                        <c:v>90</c:v>
                      </c:pt>
                      <c:pt idx="5">
                        <c:v>83</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4-76A9-4F98-8D58-9764E3DD2ADB}"/>
                  </c:ext>
                </c:extLst>
              </c15:ser>
            </c15:filteredLineSeries>
            <c15:filteredLineSeries>
              <c15: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extLst xmlns:c15="http://schemas.microsoft.com/office/drawing/2012/chart">
                      <c:ext xmlns:c15="http://schemas.microsoft.com/office/drawing/2012/chart" uri="{02D57815-91ED-43cb-92C2-25804820EDAC}">
                        <c15:formulaRef>
                          <c15:sqref>'Marketing June'!$X$2:$AI$2</c15:sqref>
                        </c15:formulaRef>
                      </c:ext>
                    </c:extLst>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xmlns:c15="http://schemas.microsoft.com/office/drawing/2012/chart">
                  <c:ext xmlns:c16="http://schemas.microsoft.com/office/drawing/2014/chart" uri="{C3380CC4-5D6E-409C-BE32-E72D297353CC}">
                    <c16:uniqueId val="{00000005-76A9-4F98-8D58-9764E3DD2ADB}"/>
                  </c:ext>
                </c:extLst>
              </c15:ser>
            </c15:filteredLineSeries>
          </c:ext>
        </c:extLst>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'Marketing June'!$H$16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'Marketing June'!$I$13:$T$13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'Marketing June'!$I$16:$T$16</c:f>
              <c:numCache>
                <c:formatCode>General</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4CBA-4EEA-9C88-F8940B23DDB2}"/>
            </c:ext>
          </c:extLst>
        </c:ser>
        <c:ser>
          <c:idx val="1"/>
          <c:order val="1"/>
          <c:tx>
            <c:strRef>
              <c:f>'Marketing June'!$H$17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'Marketing June'!$I$13:$T$13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'Marketing June'!$I$17:$T$17</c:f>
              <c:numCache>
                <c:formatCode>General</c:formatCode>
                <c:ptCount val="12"/>
                <c:pt idx="0">
                  <c:v>0</c:v>
                </c:pt>
                <c:pt idx="1">
                  <c:v>86</c:v>
                </c:pt>
                <c:pt idx="2">
                  <c:v>84</c:v>
                </c:pt>
                <c:pt idx="3">
                  <c:v>92</c:v>
                </c:pt>
                <c:pt idx="4">
                  <c:v>87</c:v>
                </c:pt>
                <c:pt idx="5">
                  <c:v>88</c:v>
                </c:pt>
              </c:numCache>
            </c:numRef>
          </c:val>
          <c:smooth val="0"/>
          <c:extLst>
            <c:ext xmlns:c16="http://schemas.microsoft.com/office/drawing/2014/chart" uri="{C3380CC4-5D6E-409C-BE32-E72D297353CC}">
              <c16:uniqueId val="{00000001-4CBA-4EEA-9C88-F8940B23DDB2}"/>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'Marketing June'!$X$3:$AI$3</c:f>
              <c:numCache>
                <c:formatCode>General</c:formatCode>
                <c:ptCount val="12"/>
                <c:pt idx="0">
                  <c:v>#N/A</c:v>
                </c:pt>
                <c:pt idx="1">
                  <c:v>86</c:v>
                </c:pt>
                <c:pt idx="2">
                  <c:v>84</c:v>
                </c:pt>
                <c:pt idx="3">
                  <c:v>92</c:v>
                </c:pt>
                <c:pt idx="4">
                  <c:v>87</c:v>
                </c:pt>
                <c:pt idx="5">
                  <c:v>88</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4CBA-4EEA-9C88-F8940B23DDB2}"/>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'Marketing June'!$X$4:$AI$4</c:f>
              <c:numCache>
                <c:formatCode>General</c:formatCode>
                <c:ptCount val="12"/>
                <c:pt idx="0">
                  <c:v>0</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4CBA-4EEA-9C88-F8940B23DDB2}"/>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'Marketing June'!$H$18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'Marketing June'!$I$13:$T$13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'Marketing June'!$I$18:$T$18</c:f>
              <c:numCache>
                <c:formatCode>General</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1FEA-4A10-BF58-B17B8056BC11}"/>
            </c:ext>
          </c:extLst>
        </c:ser>
        <c:ser>
          <c:idx val="1"/>
          <c:order val="1"/>
          <c:tx>
            <c:strRef>
              <c:f>'Marketing June'!$H$19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'Marketing June'!$I$13:$T$13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'Marketing June'!$I$19:$T$19</c:f>
              <c:numCache>
                <c:formatCode>General</c:formatCode>
                <c:ptCount val="12"/>
                <c:pt idx="0">
                  <c:v>100</c:v>
                </c:pt>
                <c:pt idx="1">
                  <c:v>100</c:v>
                </c:pt>
                <c:pt idx="2">
                  <c:v>60</c:v>
                </c:pt>
                <c:pt idx="3">
                  <c:v>100</c:v>
                </c:pt>
                <c:pt idx="4">
                  <c:v>100</c:v>
                </c:pt>
                <c:pt idx="5">
                  <c:v>89</c:v>
                </c:pt>
              </c:numCache>
            </c:numRef>
          </c:val>
          <c:smooth val="0"/>
          <c:extLst>
            <c:ext xmlns:c16="http://schemas.microsoft.com/office/drawing/2014/chart" uri="{C3380CC4-5D6E-409C-BE32-E72D297353CC}">
              <c16:uniqueId val="{00000001-1FEA-4A10-BF58-B17B8056BC11}"/>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'Marketing June'!$X$5:$AI$5</c:f>
              <c:numCache>
                <c:formatCode>General</c:formatCode>
                <c:ptCount val="12"/>
                <c:pt idx="0">
                  <c:v>100</c:v>
                </c:pt>
                <c:pt idx="1">
                  <c:v>100</c:v>
                </c:pt>
                <c:pt idx="2">
                  <c:v>#N/A</c:v>
                </c:pt>
                <c:pt idx="3">
                  <c:v>100</c:v>
                </c:pt>
                <c:pt idx="4">
                  <c:v>100</c:v>
                </c:pt>
                <c:pt idx="5">
                  <c:v>89</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1FEA-4A10-BF58-B17B8056BC11}"/>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'Marketing June'!$X$6:$AI$6</c:f>
              <c:numCache>
                <c:formatCode>General</c:formatCode>
                <c:ptCount val="12"/>
                <c:pt idx="0">
                  <c:v>#N/A</c:v>
                </c:pt>
                <c:pt idx="1">
                  <c:v>#N/A</c:v>
                </c:pt>
                <c:pt idx="2">
                  <c:v>60</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1FEA-4A10-BF58-B17B8056BC11}"/>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Service'!$I$14:$T$14</c:f>
              <c:numCache>
                <c:formatCode>0.00%</c:formatCode>
                <c:ptCount val="12"/>
                <c:pt idx="0">
                  <c:v>0.53600000000000003</c:v>
                </c:pt>
                <c:pt idx="1">
                  <c:v>0.53900000000000003</c:v>
                </c:pt>
                <c:pt idx="2">
                  <c:v>0.54100000000000004</c:v>
                </c:pt>
                <c:pt idx="3">
                  <c:v>0.54100000000000004</c:v>
                </c:pt>
                <c:pt idx="4">
                  <c:v>0.54300000000000004</c:v>
                </c:pt>
                <c:pt idx="5">
                  <c:v>0.54400000000000004</c:v>
                </c:pt>
                <c:pt idx="6">
                  <c:v>0.54400000000000004</c:v>
                </c:pt>
                <c:pt idx="7">
                  <c:v>0.54500000000000004</c:v>
                </c:pt>
                <c:pt idx="8">
                  <c:v>0.54600000000000004</c:v>
                </c:pt>
                <c:pt idx="9">
                  <c:v>0.54700000000000004</c:v>
                </c:pt>
                <c:pt idx="10">
                  <c:v>0.54900000000000004</c:v>
                </c:pt>
                <c:pt idx="11">
                  <c:v>0.54900000000000004</c:v>
                </c:pt>
              </c:numCache>
            </c:numRef>
          </c:val>
          <c:smooth val="0"/>
          <c:extLst>
            <c:ext xmlns:c16="http://schemas.microsoft.com/office/drawing/2014/chart" uri="{C3380CC4-5D6E-409C-BE32-E72D297353CC}">
              <c16:uniqueId val="{00000000-8F8A-4DA7-8DB3-B82D2CB77561}"/>
            </c:ext>
          </c:extLst>
        </c:ser>
        <c:ser>
          <c:idx val="1"/>
          <c:order val="1"/>
          <c:tx>
            <c:strRef>
              <c:f>'7.Customer Service'!$H$15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Service'!$I$15:$T$15</c:f>
              <c:numCache>
                <c:formatCode>0.00%</c:formatCode>
                <c:ptCount val="12"/>
                <c:pt idx="0">
                  <c:v>0.51900000000000002</c:v>
                </c:pt>
                <c:pt idx="1">
                  <c:v>0.52100000000000002</c:v>
                </c:pt>
                <c:pt idx="2">
                  <c:v>0.53100000000000003</c:v>
                </c:pt>
                <c:pt idx="3" formatCode="0.0%">
                  <c:v>0.53500000000000003</c:v>
                </c:pt>
                <c:pt idx="4">
                  <c:v>0.53600000000000003</c:v>
                </c:pt>
                <c:pt idx="5">
                  <c:v>0.53700000000000003</c:v>
                </c:pt>
                <c:pt idx="6">
                  <c:v>0.53600000000000003</c:v>
                </c:pt>
              </c:numCache>
            </c:numRef>
          </c:val>
          <c:smooth val="0"/>
          <c:extLst>
            <c:ext xmlns:c16="http://schemas.microsoft.com/office/drawing/2014/chart" uri="{C3380CC4-5D6E-409C-BE32-E72D297353CC}">
              <c16:uniqueId val="{00000001-8F8A-4DA7-8DB3-B82D2CB77561}"/>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'7.Customer Service'!$X$1:$AI$1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8F8A-4DA7-8DB3-B82D2CB77561}"/>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'7.Customer Service'!$X$2:$AI$2</c:f>
              <c:numCache>
                <c:formatCode>General</c:formatCode>
                <c:ptCount val="12"/>
                <c:pt idx="0">
                  <c:v>0.51900000000000002</c:v>
                </c:pt>
                <c:pt idx="1">
                  <c:v>0.52100000000000002</c:v>
                </c:pt>
                <c:pt idx="2">
                  <c:v>0.53100000000000003</c:v>
                </c:pt>
                <c:pt idx="3">
                  <c:v>0.53500000000000003</c:v>
                </c:pt>
                <c:pt idx="4">
                  <c:v>0.53600000000000003</c:v>
                </c:pt>
                <c:pt idx="5">
                  <c:v>0.53700000000000003</c:v>
                </c:pt>
                <c:pt idx="6">
                  <c:v>0.53600000000000003</c:v>
                </c:pt>
                <c:pt idx="7">
                  <c:v>#N/A</c:v>
                </c:pt>
                <c:pt idx="8">
                  <c:v>#N/A</c:v>
                </c:pt>
                <c:pt idx="9">
                  <c:v>#N/A</c:v>
                </c:pt>
                <c:pt idx="10">
                  <c:v>#N/A</c:v>
                </c:pt>
                <c:pt idx="11">
                  <c:v>#N/A</c:v>
                </c:pt>
              </c:numCache>
            </c:numRef>
          </c:val>
          <c:smooth val="0"/>
          <c:extLst>
            <c:ext xmlns:c16="http://schemas.microsoft.com/office/drawing/2014/chart" uri="{C3380CC4-5D6E-409C-BE32-E72D297353CC}">
              <c16:uniqueId val="{00000003-8F8A-4DA7-8DB3-B82D2CB77561}"/>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Service'!$I$16:$T$16</c:f>
              <c:numCache>
                <c:formatCode>0%</c:formatCode>
                <c:ptCount val="12"/>
                <c:pt idx="0">
                  <c:v>0.4</c:v>
                </c:pt>
                <c:pt idx="1">
                  <c:v>0.4</c:v>
                </c:pt>
                <c:pt idx="2">
                  <c:v>0.4</c:v>
                </c:pt>
                <c:pt idx="3">
                  <c:v>0.4</c:v>
                </c:pt>
                <c:pt idx="4">
                  <c:v>0.4</c:v>
                </c:pt>
                <c:pt idx="5">
                  <c:v>0.4</c:v>
                </c:pt>
                <c:pt idx="6">
                  <c:v>0.4</c:v>
                </c:pt>
                <c:pt idx="7">
                  <c:v>0.4</c:v>
                </c:pt>
                <c:pt idx="8">
                  <c:v>0.4</c:v>
                </c:pt>
                <c:pt idx="9">
                  <c:v>0.4</c:v>
                </c:pt>
                <c:pt idx="10">
                  <c:v>0.4</c:v>
                </c:pt>
                <c:pt idx="11">
                  <c:v>0.4</c:v>
                </c:pt>
              </c:numCache>
            </c:numRef>
          </c:val>
          <c:smooth val="0"/>
          <c:extLst>
            <c:ext xmlns:c16="http://schemas.microsoft.com/office/drawing/2014/chart" uri="{C3380CC4-5D6E-409C-BE32-E72D297353CC}">
              <c16:uniqueId val="{00000000-F71E-4ECE-94BA-D2A674263D07}"/>
            </c:ext>
          </c:extLst>
        </c:ser>
        <c:ser>
          <c:idx val="1"/>
          <c:order val="1"/>
          <c:tx>
            <c:strRef>
              <c:f>'7.Customer Service'!$H$17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Service'!$I$17:$T$17</c:f>
              <c:numCache>
                <c:formatCode>0.00%</c:formatCode>
                <c:ptCount val="12"/>
                <c:pt idx="0">
                  <c:v>0.217</c:v>
                </c:pt>
                <c:pt idx="1">
                  <c:v>0.28599999999999998</c:v>
                </c:pt>
                <c:pt idx="2" formatCode="0%">
                  <c:v>0.31</c:v>
                </c:pt>
                <c:pt idx="3" formatCode="0%">
                  <c:v>0.31</c:v>
                </c:pt>
                <c:pt idx="4" formatCode="0%">
                  <c:v>0.32</c:v>
                </c:pt>
                <c:pt idx="5" formatCode="0%">
                  <c:v>0.42</c:v>
                </c:pt>
                <c:pt idx="6">
                  <c:v>0.41399999999999998</c:v>
                </c:pt>
              </c:numCache>
            </c:numRef>
          </c:val>
          <c:smooth val="0"/>
          <c:extLst>
            <c:ext xmlns:c16="http://schemas.microsoft.com/office/drawing/2014/chart" uri="{C3380CC4-5D6E-409C-BE32-E72D297353CC}">
              <c16:uniqueId val="{00000001-F71E-4ECE-94BA-D2A674263D07}"/>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'7.Customer Service'!$X$3:$AI$3</c:f>
              <c:numCache>
                <c:formatCode>General</c:formatCode>
                <c:ptCount val="12"/>
                <c:pt idx="0">
                  <c:v>#N/A</c:v>
                </c:pt>
                <c:pt idx="1">
                  <c:v>#N/A</c:v>
                </c:pt>
                <c:pt idx="2">
                  <c:v>#N/A</c:v>
                </c:pt>
                <c:pt idx="3">
                  <c:v>#N/A</c:v>
                </c:pt>
                <c:pt idx="4">
                  <c:v>#N/A</c:v>
                </c:pt>
                <c:pt idx="5">
                  <c:v>0.42</c:v>
                </c:pt>
                <c:pt idx="6">
                  <c:v>0.41399999999999998</c:v>
                </c:pt>
                <c:pt idx="7">
                  <c:v>#N/A</c:v>
                </c:pt>
                <c:pt idx="8">
                  <c:v>#N/A</c:v>
                </c:pt>
                <c:pt idx="9">
                  <c:v>#N/A</c:v>
                </c:pt>
                <c:pt idx="10">
                  <c:v>#N/A</c:v>
                </c:pt>
                <c:pt idx="11">
                  <c:v>#N/A</c:v>
                </c:pt>
              </c:numCache>
            </c:numRef>
          </c:val>
          <c:smooth val="0"/>
          <c:extLst>
            <c:ext xmlns:c16="http://schemas.microsoft.com/office/drawing/2014/chart" uri="{C3380CC4-5D6E-409C-BE32-E72D297353CC}">
              <c16:uniqueId val="{00000002-F71E-4ECE-94BA-D2A674263D07}"/>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'7.Customer Service'!$X$4:$AI$4</c:f>
              <c:numCache>
                <c:formatCode>General</c:formatCode>
                <c:ptCount val="12"/>
                <c:pt idx="0">
                  <c:v>0.217</c:v>
                </c:pt>
                <c:pt idx="1">
                  <c:v>0.28599999999999998</c:v>
                </c:pt>
                <c:pt idx="2">
                  <c:v>0.31</c:v>
                </c:pt>
                <c:pt idx="3">
                  <c:v>0.31</c:v>
                </c:pt>
                <c:pt idx="4">
                  <c:v>0.32</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F71E-4ECE-94BA-D2A674263D07}"/>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Service'!$I$18:$T$18</c:f>
              <c:numCache>
                <c:formatCode>0%</c:formatCode>
                <c:ptCount val="12"/>
                <c:pt idx="0">
                  <c:v>0.02</c:v>
                </c:pt>
                <c:pt idx="1">
                  <c:v>0.05</c:v>
                </c:pt>
                <c:pt idx="2">
                  <c:v>0.08</c:v>
                </c:pt>
                <c:pt idx="3">
                  <c:v>0.11</c:v>
                </c:pt>
                <c:pt idx="4">
                  <c:v>0.16999999999999998</c:v>
                </c:pt>
                <c:pt idx="5">
                  <c:v>0.22999999999999998</c:v>
                </c:pt>
                <c:pt idx="6">
                  <c:v>0.28999999999999998</c:v>
                </c:pt>
                <c:pt idx="7" formatCode="General">
                  <c:v>0.37</c:v>
                </c:pt>
                <c:pt idx="8" formatCode="General">
                  <c:v>0.45</c:v>
                </c:pt>
                <c:pt idx="9" formatCode="General">
                  <c:v>0.53</c:v>
                </c:pt>
                <c:pt idx="10" formatCode="General">
                  <c:v>0.61</c:v>
                </c:pt>
                <c:pt idx="11" formatCode="General">
                  <c:v>0.61</c:v>
                </c:pt>
              </c:numCache>
            </c:numRef>
          </c:val>
          <c:smooth val="0"/>
          <c:extLst>
            <c:ext xmlns:c16="http://schemas.microsoft.com/office/drawing/2014/chart" uri="{C3380CC4-5D6E-409C-BE32-E72D297353CC}">
              <c16:uniqueId val="{00000000-058B-4DB6-AA59-ED311A8B599D}"/>
            </c:ext>
          </c:extLst>
        </c:ser>
        <c:ser>
          <c:idx val="1"/>
          <c:order val="1"/>
          <c:tx>
            <c:strRef>
              <c:f>'7.Customer Service'!$H$19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Service'!$I$19:$T$19</c:f>
              <c:numCache>
                <c:formatCode>0.00%</c:formatCode>
                <c:ptCount val="12"/>
                <c:pt idx="0">
                  <c:v>7.0000000000000007E-2</c:v>
                </c:pt>
                <c:pt idx="1">
                  <c:v>7.0000000000000007E-2</c:v>
                </c:pt>
                <c:pt idx="2" formatCode="0%">
                  <c:v>0.24</c:v>
                </c:pt>
                <c:pt idx="3" formatCode="0%">
                  <c:v>0.32</c:v>
                </c:pt>
                <c:pt idx="4" formatCode="0%">
                  <c:v>0.4</c:v>
                </c:pt>
                <c:pt idx="5" formatCode="0%">
                  <c:v>0.53</c:v>
                </c:pt>
                <c:pt idx="6">
                  <c:v>0.53</c:v>
                </c:pt>
              </c:numCache>
            </c:numRef>
          </c:val>
          <c:smooth val="0"/>
          <c:extLst>
            <c:ext xmlns:c16="http://schemas.microsoft.com/office/drawing/2014/chart" uri="{C3380CC4-5D6E-409C-BE32-E72D297353CC}">
              <c16:uniqueId val="{00000001-058B-4DB6-AA59-ED311A8B599D}"/>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'7.Customer Service'!$X$5:$AI$5</c:f>
              <c:numCache>
                <c:formatCode>General</c:formatCode>
                <c:ptCount val="12"/>
                <c:pt idx="0">
                  <c:v>7.0000000000000007E-2</c:v>
                </c:pt>
                <c:pt idx="1">
                  <c:v>7.0000000000000007E-2</c:v>
                </c:pt>
                <c:pt idx="2">
                  <c:v>0.24</c:v>
                </c:pt>
                <c:pt idx="3">
                  <c:v>0.32</c:v>
                </c:pt>
                <c:pt idx="4">
                  <c:v>0.4</c:v>
                </c:pt>
                <c:pt idx="5">
                  <c:v>0.53</c:v>
                </c:pt>
                <c:pt idx="6">
                  <c:v>0.53</c:v>
                </c:pt>
                <c:pt idx="7">
                  <c:v>#N/A</c:v>
                </c:pt>
                <c:pt idx="8">
                  <c:v>#N/A</c:v>
                </c:pt>
                <c:pt idx="9">
                  <c:v>#N/A</c:v>
                </c:pt>
                <c:pt idx="10">
                  <c:v>#N/A</c:v>
                </c:pt>
                <c:pt idx="11">
                  <c:v>#N/A</c:v>
                </c:pt>
              </c:numCache>
            </c:numRef>
          </c:val>
          <c:smooth val="0"/>
          <c:extLst>
            <c:ext xmlns:c16="http://schemas.microsoft.com/office/drawing/2014/chart" uri="{C3380CC4-5D6E-409C-BE32-E72D297353CC}">
              <c16:uniqueId val="{00000002-058B-4DB6-AA59-ED311A8B599D}"/>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'7.Customer Service'!$X$6:$AI$6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058B-4DB6-AA59-ED311A8B599D}"/>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Service'!$I$20:$T$20</c:f>
              <c:numCache>
                <c:formatCode>0%</c:formatCode>
                <c:ptCount val="12"/>
                <c:pt idx="0">
                  <c:v>0</c:v>
                </c:pt>
                <c:pt idx="1">
                  <c:v>0.03</c:v>
                </c:pt>
                <c:pt idx="2">
                  <c:v>0.06</c:v>
                </c:pt>
                <c:pt idx="3">
                  <c:v>0.13</c:v>
                </c:pt>
                <c:pt idx="4">
                  <c:v>0.2</c:v>
                </c:pt>
                <c:pt idx="5">
                  <c:v>0.27</c:v>
                </c:pt>
                <c:pt idx="6">
                  <c:v>0.42000000000000004</c:v>
                </c:pt>
                <c:pt idx="7" formatCode="General">
                  <c:v>0.57000000000000006</c:v>
                </c:pt>
                <c:pt idx="8" formatCode="General">
                  <c:v>0.73000000000000009</c:v>
                </c:pt>
                <c:pt idx="9" formatCode="General">
                  <c:v>0.89000000000000012</c:v>
                </c:pt>
                <c:pt idx="10" formatCode="General">
                  <c:v>1.0900000000000001</c:v>
                </c:pt>
                <c:pt idx="11" formatCode="General">
                  <c:v>1.3</c:v>
                </c:pt>
              </c:numCache>
            </c:numRef>
          </c:val>
          <c:smooth val="0"/>
          <c:extLst>
            <c:ext xmlns:c16="http://schemas.microsoft.com/office/drawing/2014/chart" uri="{C3380CC4-5D6E-409C-BE32-E72D297353CC}">
              <c16:uniqueId val="{00000000-2454-4427-BE42-D9590698B11B}"/>
            </c:ext>
          </c:extLst>
        </c:ser>
        <c:ser>
          <c:idx val="1"/>
          <c:order val="1"/>
          <c:tx>
            <c:strRef>
              <c:f>'7.Customer Service'!$H$21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Service'!$I$21:$T$21</c:f>
              <c:numCache>
                <c:formatCode>0.00%</c:formatCode>
                <c:ptCount val="12"/>
                <c:pt idx="0">
                  <c:v>0.01</c:v>
                </c:pt>
                <c:pt idx="1">
                  <c:v>0.03</c:v>
                </c:pt>
                <c:pt idx="2" formatCode="0%">
                  <c:v>8.5000000000000006E-2</c:v>
                </c:pt>
                <c:pt idx="3" formatCode="0%">
                  <c:v>0.16</c:v>
                </c:pt>
                <c:pt idx="4" formatCode="0%">
                  <c:v>0.23</c:v>
                </c:pt>
                <c:pt idx="5" formatCode="0%">
                  <c:v>0.3</c:v>
                </c:pt>
                <c:pt idx="6">
                  <c:v>0.44</c:v>
                </c:pt>
              </c:numCache>
            </c:numRef>
          </c:val>
          <c:smooth val="0"/>
          <c:extLst>
            <c:ext xmlns:c16="http://schemas.microsoft.com/office/drawing/2014/chart" uri="{C3380CC4-5D6E-409C-BE32-E72D297353CC}">
              <c16:uniqueId val="{00000001-2454-4427-BE42-D9590698B11B}"/>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'7.Customer Service'!$X$7:$AI$7</c:f>
              <c:numCache>
                <c:formatCode>General</c:formatCode>
                <c:ptCount val="12"/>
                <c:pt idx="0">
                  <c:v>0.01</c:v>
                </c:pt>
                <c:pt idx="1">
                  <c:v>0.03</c:v>
                </c:pt>
                <c:pt idx="2">
                  <c:v>8.5000000000000006E-2</c:v>
                </c:pt>
                <c:pt idx="3">
                  <c:v>0.16</c:v>
                </c:pt>
                <c:pt idx="4">
                  <c:v>0.23</c:v>
                </c:pt>
                <c:pt idx="5">
                  <c:v>0.3</c:v>
                </c:pt>
                <c:pt idx="6">
                  <c:v>0.44</c:v>
                </c:pt>
                <c:pt idx="7">
                  <c:v>#N/A</c:v>
                </c:pt>
                <c:pt idx="8">
                  <c:v>#N/A</c:v>
                </c:pt>
                <c:pt idx="9">
                  <c:v>#N/A</c:v>
                </c:pt>
                <c:pt idx="10">
                  <c:v>#N/A</c:v>
                </c:pt>
                <c:pt idx="11">
                  <c:v>#N/A</c:v>
                </c:pt>
              </c:numCache>
            </c:numRef>
          </c:val>
          <c:smooth val="0"/>
          <c:extLst>
            <c:ext xmlns:c16="http://schemas.microsoft.com/office/drawing/2014/chart" uri="{C3380CC4-5D6E-409C-BE32-E72D297353CC}">
              <c16:uniqueId val="{00000002-2454-4427-BE42-D9590698B11B}"/>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'7.Customer Service'!$X$8:$AI$8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2454-4427-BE42-D9590698B11B}"/>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Service'!$H$22</c:f>
              <c:strCache>
                <c:ptCount val="1"/>
                <c:pt idx="0">
                  <c:v>Target</c:v>
                </c:pt>
              </c:strCache>
            </c:strRef>
          </c:tx>
          <c:spPr>
            <a:ln w="15875" cap="rnd">
              <a:solidFill>
                <a:schemeClr val="accent1">
                  <a:alpha val="97000"/>
                </a:schemeClr>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Service'!$I$22:$T$22</c:f>
              <c:numCache>
                <c:formatCode>0%</c:formatCode>
                <c:ptCount val="12"/>
                <c:pt idx="0">
                  <c:v>0.22053895497960274</c:v>
                </c:pt>
                <c:pt idx="1">
                  <c:v>0.22198023304101416</c:v>
                </c:pt>
                <c:pt idx="2">
                  <c:v>0.22342151110242559</c:v>
                </c:pt>
                <c:pt idx="3">
                  <c:v>0.22486278916383703</c:v>
                </c:pt>
                <c:pt idx="4">
                  <c:v>0.22630406722524848</c:v>
                </c:pt>
                <c:pt idx="5">
                  <c:v>0.22774534528665999</c:v>
                </c:pt>
                <c:pt idx="6">
                  <c:v>0.22918662334807141</c:v>
                </c:pt>
                <c:pt idx="7" formatCode="0.00%">
                  <c:v>0.23062790140948286</c:v>
                </c:pt>
                <c:pt idx="8" formatCode="0.00%">
                  <c:v>0.23206917947089434</c:v>
                </c:pt>
                <c:pt idx="9" formatCode="0.00%">
                  <c:v>0.23351045753230576</c:v>
                </c:pt>
                <c:pt idx="10" formatCode="0.00%">
                  <c:v>0.23495173559371718</c:v>
                </c:pt>
                <c:pt idx="11" formatCode="0.00%">
                  <c:v>0.23639301365512863</c:v>
                </c:pt>
              </c:numCache>
            </c:numRef>
          </c:val>
          <c:smooth val="0"/>
          <c:extLst>
            <c:ext xmlns:c16="http://schemas.microsoft.com/office/drawing/2014/chart" uri="{C3380CC4-5D6E-409C-BE32-E72D297353CC}">
              <c16:uniqueId val="{00000000-52F0-46F9-B665-E8015E73D39A}"/>
            </c:ext>
          </c:extLst>
        </c:ser>
        <c:ser>
          <c:idx val="1"/>
          <c:order val="1"/>
          <c:tx>
            <c:strRef>
              <c:f>'7.Customer Service'!$H$23</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Service'!$I$23:$T$23</c:f>
              <c:numCache>
                <c:formatCode>0.00%</c:formatCode>
                <c:ptCount val="12"/>
                <c:pt idx="0">
                  <c:v>0.215</c:v>
                </c:pt>
                <c:pt idx="1">
                  <c:v>0.21299999999999999</c:v>
                </c:pt>
                <c:pt idx="2" formatCode="0%">
                  <c:v>0.21199999999999999</c:v>
                </c:pt>
                <c:pt idx="3" formatCode="0%">
                  <c:v>0.221</c:v>
                </c:pt>
                <c:pt idx="4" formatCode="0%">
                  <c:v>0.22700000000000001</c:v>
                </c:pt>
                <c:pt idx="5" formatCode="0%">
                  <c:v>0.22040000000000001</c:v>
                </c:pt>
                <c:pt idx="6">
                  <c:v>0.24</c:v>
                </c:pt>
              </c:numCache>
            </c:numRef>
          </c:val>
          <c:smooth val="0"/>
          <c:extLst>
            <c:ext xmlns:c16="http://schemas.microsoft.com/office/drawing/2014/chart" uri="{C3380CC4-5D6E-409C-BE32-E72D297353CC}">
              <c16:uniqueId val="{00000001-52F0-46F9-B665-E8015E73D39A}"/>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'7.Customer Service'!$X$9:$AI$9</c:f>
              <c:numCache>
                <c:formatCode>General</c:formatCode>
                <c:ptCount val="12"/>
                <c:pt idx="0">
                  <c:v>#N/A</c:v>
                </c:pt>
                <c:pt idx="1">
                  <c:v>#N/A</c:v>
                </c:pt>
                <c:pt idx="2">
                  <c:v>#N/A</c:v>
                </c:pt>
                <c:pt idx="3">
                  <c:v>#N/A</c:v>
                </c:pt>
                <c:pt idx="4">
                  <c:v>0.22700000000000001</c:v>
                </c:pt>
                <c:pt idx="5">
                  <c:v>#N/A</c:v>
                </c:pt>
                <c:pt idx="6">
                  <c:v>0.24</c:v>
                </c:pt>
                <c:pt idx="7">
                  <c:v>#N/A</c:v>
                </c:pt>
                <c:pt idx="8">
                  <c:v>#N/A</c:v>
                </c:pt>
                <c:pt idx="9">
                  <c:v>#N/A</c:v>
                </c:pt>
                <c:pt idx="10">
                  <c:v>#N/A</c:v>
                </c:pt>
                <c:pt idx="11">
                  <c:v>#N/A</c:v>
                </c:pt>
              </c:numCache>
            </c:numRef>
          </c:val>
          <c:smooth val="0"/>
          <c:extLst>
            <c:ext xmlns:c16="http://schemas.microsoft.com/office/drawing/2014/chart" uri="{C3380CC4-5D6E-409C-BE32-E72D297353CC}">
              <c16:uniqueId val="{00000002-52F0-46F9-B665-E8015E73D39A}"/>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'7.Customer Service'!$X$10:$AI$10</c:f>
              <c:numCache>
                <c:formatCode>General</c:formatCode>
                <c:ptCount val="12"/>
                <c:pt idx="0">
                  <c:v>0.215</c:v>
                </c:pt>
                <c:pt idx="1">
                  <c:v>0.21299999999999999</c:v>
                </c:pt>
                <c:pt idx="2">
                  <c:v>0.21199999999999999</c:v>
                </c:pt>
                <c:pt idx="3">
                  <c:v>0.221</c:v>
                </c:pt>
                <c:pt idx="4">
                  <c:v>#N/A</c:v>
                </c:pt>
                <c:pt idx="5">
                  <c:v>0.22040000000000001</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52F0-46F9-B665-E8015E73D39A}"/>
            </c:ext>
          </c:extLst>
        </c:ser>
        <c:dLbls>
          <c:showLegendKey val="0"/>
          <c:showVal val="0"/>
          <c:showCatName val="0"/>
          <c:showSerName val="0"/>
          <c:showPercent val="0"/>
          <c:showBubbleSize val="0"/>
        </c:dLbls>
        <c:marker val="1"/>
        <c:smooth val="0"/>
        <c:axId val="180688111"/>
        <c:axId val="180691471"/>
      </c:lineChart>
      <c:dateAx>
        <c:axId val="180688111"/>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91471"/>
        <c:crosses val="autoZero"/>
        <c:auto val="1"/>
        <c:lblOffset val="100"/>
        <c:baseTimeUnit val="months"/>
      </c:dateAx>
      <c:valAx>
        <c:axId val="180691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11"/>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Service'!$H$24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Service'!$I$24:$T$24</c:f>
              <c:numCache>
                <c:formatCode>0%</c:formatCode>
                <c:ptCount val="12"/>
                <c:pt idx="0">
                  <c:v>0.80400000000000005</c:v>
                </c:pt>
                <c:pt idx="1">
                  <c:v>0.80500000000000005</c:v>
                </c:pt>
                <c:pt idx="2">
                  <c:v>0.80600000000000005</c:v>
                </c:pt>
                <c:pt idx="3">
                  <c:v>0.80700000000000005</c:v>
                </c:pt>
                <c:pt idx="4">
                  <c:v>0.80800000000000005</c:v>
                </c:pt>
                <c:pt idx="5">
                  <c:v>0.80900000000000005</c:v>
                </c:pt>
                <c:pt idx="6">
                  <c:v>0.81</c:v>
                </c:pt>
                <c:pt idx="7" formatCode="0.00%">
                  <c:v>0.81100000000000005</c:v>
                </c:pt>
                <c:pt idx="8" formatCode="0.00%">
                  <c:v>0.81200000000000006</c:v>
                </c:pt>
                <c:pt idx="9" formatCode="0.00%">
                  <c:v>0.81399999999999995</c:v>
                </c:pt>
                <c:pt idx="10" formatCode="0.00%">
                  <c:v>0.81499999999999995</c:v>
                </c:pt>
                <c:pt idx="11" formatCode="0.00%">
                  <c:v>0.81599999999999995</c:v>
                </c:pt>
              </c:numCache>
            </c:numRef>
          </c:val>
          <c:smooth val="0"/>
          <c:extLst>
            <c:ext xmlns:c16="http://schemas.microsoft.com/office/drawing/2014/chart" uri="{C3380CC4-5D6E-409C-BE32-E72D297353CC}">
              <c16:uniqueId val="{00000000-11B5-46BA-8A79-C5D8BA123110}"/>
            </c:ext>
          </c:extLst>
        </c:ser>
        <c:ser>
          <c:idx val="1"/>
          <c:order val="1"/>
          <c:tx>
            <c:strRef>
              <c:f>'7.Customer Service'!$H$25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Service'!$I$25:$T$25</c:f>
              <c:numCache>
                <c:formatCode>0.00%</c:formatCode>
                <c:ptCount val="12"/>
                <c:pt idx="0">
                  <c:v>0.81879999999999997</c:v>
                </c:pt>
                <c:pt idx="1">
                  <c:v>0.81399999999999995</c:v>
                </c:pt>
                <c:pt idx="2" formatCode="0%">
                  <c:v>0.8</c:v>
                </c:pt>
                <c:pt idx="3" formatCode="0%">
                  <c:v>0.80200000000000005</c:v>
                </c:pt>
                <c:pt idx="4" formatCode="0%">
                  <c:v>0.80400000000000005</c:v>
                </c:pt>
                <c:pt idx="5" formatCode="0%">
                  <c:v>0.80559999999999998</c:v>
                </c:pt>
                <c:pt idx="6">
                  <c:v>0.81</c:v>
                </c:pt>
              </c:numCache>
            </c:numRef>
          </c:val>
          <c:smooth val="0"/>
          <c:extLst>
            <c:ext xmlns:c16="http://schemas.microsoft.com/office/drawing/2014/chart" uri="{C3380CC4-5D6E-409C-BE32-E72D297353CC}">
              <c16:uniqueId val="{00000001-11B5-46BA-8A79-C5D8BA123110}"/>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'7.Customer Service'!$X$11:$AI$11</c:f>
              <c:numCache>
                <c:formatCode>General</c:formatCode>
                <c:ptCount val="12"/>
                <c:pt idx="0">
                  <c:v>0.81879999999999997</c:v>
                </c:pt>
                <c:pt idx="1">
                  <c:v>0.81399999999999995</c:v>
                </c:pt>
                <c:pt idx="2">
                  <c:v>#N/A</c:v>
                </c:pt>
                <c:pt idx="3">
                  <c:v>#N/A</c:v>
                </c:pt>
                <c:pt idx="4">
                  <c:v>#N/A</c:v>
                </c:pt>
                <c:pt idx="5">
                  <c:v>#N/A</c:v>
                </c:pt>
                <c:pt idx="6">
                  <c:v>0.81</c:v>
                </c:pt>
                <c:pt idx="7">
                  <c:v>#N/A</c:v>
                </c:pt>
                <c:pt idx="8">
                  <c:v>#N/A</c:v>
                </c:pt>
                <c:pt idx="9">
                  <c:v>#N/A</c:v>
                </c:pt>
                <c:pt idx="10">
                  <c:v>#N/A</c:v>
                </c:pt>
                <c:pt idx="11">
                  <c:v>#N/A</c:v>
                </c:pt>
              </c:numCache>
            </c:numRef>
          </c:val>
          <c:smooth val="0"/>
          <c:extLst>
            <c:ext xmlns:c16="http://schemas.microsoft.com/office/drawing/2014/chart" uri="{C3380CC4-5D6E-409C-BE32-E72D297353CC}">
              <c16:uniqueId val="{00000002-11B5-46BA-8A79-C5D8BA123110}"/>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'7.Customer Service'!$X$12:$AI$12</c:f>
              <c:numCache>
                <c:formatCode>General</c:formatCode>
                <c:ptCount val="12"/>
                <c:pt idx="0">
                  <c:v>#N/A</c:v>
                </c:pt>
                <c:pt idx="1">
                  <c:v>#N/A</c:v>
                </c:pt>
                <c:pt idx="2">
                  <c:v>0.8</c:v>
                </c:pt>
                <c:pt idx="3">
                  <c:v>0.80200000000000005</c:v>
                </c:pt>
                <c:pt idx="4">
                  <c:v>0.80400000000000005</c:v>
                </c:pt>
                <c:pt idx="5">
                  <c:v>0.80559999999999998</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11B5-46BA-8A79-C5D8BA123110}"/>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Service'!$H$26</c:f>
              <c:strCache>
                <c:ptCount val="1"/>
                <c:pt idx="0">
                  <c:v>Target</c:v>
                </c:pt>
              </c:strCache>
            </c:strRef>
          </c:tx>
          <c:spPr>
            <a:ln w="15875" cap="rnd">
              <a:solidFill>
                <a:schemeClr val="tx2">
                  <a:lumMod val="75000"/>
                  <a:lumOff val="25000"/>
                </a:schemeClr>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Service'!$I$26:$T$26</c:f>
              <c:numCache>
                <c:formatCode>0%</c:formatCode>
                <c:ptCount val="12"/>
                <c:pt idx="0">
                  <c:v>0.7</c:v>
                </c:pt>
                <c:pt idx="1">
                  <c:v>0.7</c:v>
                </c:pt>
                <c:pt idx="2">
                  <c:v>0.7</c:v>
                </c:pt>
                <c:pt idx="3">
                  <c:v>0.7</c:v>
                </c:pt>
                <c:pt idx="4">
                  <c:v>0.7</c:v>
                </c:pt>
                <c:pt idx="5">
                  <c:v>0.7</c:v>
                </c:pt>
                <c:pt idx="6">
                  <c:v>0.7</c:v>
                </c:pt>
                <c:pt idx="7">
                  <c:v>0.7</c:v>
                </c:pt>
                <c:pt idx="8">
                  <c:v>0.7</c:v>
                </c:pt>
                <c:pt idx="9">
                  <c:v>0.7</c:v>
                </c:pt>
                <c:pt idx="10">
                  <c:v>0.7</c:v>
                </c:pt>
                <c:pt idx="11">
                  <c:v>0.7</c:v>
                </c:pt>
              </c:numCache>
            </c:numRef>
          </c:val>
          <c:smooth val="0"/>
          <c:extLst>
            <c:ext xmlns:c16="http://schemas.microsoft.com/office/drawing/2014/chart" uri="{C3380CC4-5D6E-409C-BE32-E72D297353CC}">
              <c16:uniqueId val="{00000000-40D1-4A0B-A7DA-3295353A9C4B}"/>
            </c:ext>
          </c:extLst>
        </c:ser>
        <c:ser>
          <c:idx val="1"/>
          <c:order val="1"/>
          <c:tx>
            <c:strRef>
              <c:f>'7.Customer Service'!$H$27</c:f>
              <c:strCache>
                <c:ptCount val="1"/>
                <c:pt idx="0">
                  <c:v>Actual</c:v>
                </c:pt>
              </c:strCache>
            </c:strRef>
          </c:tx>
          <c:spPr>
            <a:ln w="15875" cap="rnd">
              <a:solidFill>
                <a:srgbClr val="FF0000">
                  <a:alpha val="98000"/>
                </a:srgbClr>
              </a:solidFill>
              <a:round/>
            </a:ln>
            <a:effectLst/>
          </c:spPr>
          <c:marker>
            <c:symbol val="circle"/>
            <c:size val="3"/>
            <c:spPr>
              <a:solidFill>
                <a:srgbClr val="FF0000"/>
              </a:solidFill>
              <a:ln w="9525">
                <a:solidFill>
                  <a:srgbClr val="FF0000"/>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Service'!$I$27:$T$27</c:f>
              <c:numCache>
                <c:formatCode>0.00%</c:formatCode>
                <c:ptCount val="12"/>
                <c:pt idx="0">
                  <c:v>0.69499999999999995</c:v>
                </c:pt>
                <c:pt idx="1">
                  <c:v>0.64800000000000002</c:v>
                </c:pt>
                <c:pt idx="2" formatCode="0%">
                  <c:v>0.68100000000000005</c:v>
                </c:pt>
                <c:pt idx="3" formatCode="0%">
                  <c:v>0.69499999999999995</c:v>
                </c:pt>
                <c:pt idx="4" formatCode="0%">
                  <c:v>0.7</c:v>
                </c:pt>
                <c:pt idx="5" formatCode="0%">
                  <c:v>0.7</c:v>
                </c:pt>
                <c:pt idx="6">
                  <c:v>0.69699999999999995</c:v>
                </c:pt>
              </c:numCache>
            </c:numRef>
          </c:val>
          <c:smooth val="0"/>
          <c:extLst>
            <c:ext xmlns:c16="http://schemas.microsoft.com/office/drawing/2014/chart" uri="{C3380CC4-5D6E-409C-BE32-E72D297353CC}">
              <c16:uniqueId val="{00000001-40D1-4A0B-A7DA-3295353A9C4B}"/>
            </c:ext>
          </c:extLst>
        </c:ser>
        <c:ser>
          <c:idx val="2"/>
          <c:order val="2"/>
          <c:tx>
            <c:v>g</c:v>
          </c:tx>
          <c:spPr>
            <a:ln w="28575" cap="rnd">
              <a:solidFill>
                <a:schemeClr val="accent3"/>
              </a:solidFill>
              <a:round/>
            </a:ln>
            <a:effectLst/>
          </c:spPr>
          <c:marker>
            <c:symbol val="circle"/>
            <c:size val="3"/>
            <c:spPr>
              <a:solidFill>
                <a:schemeClr val="accent6"/>
              </a:solidFill>
              <a:ln w="9525">
                <a:solidFill>
                  <a:schemeClr val="accent6"/>
                </a:solidFill>
              </a:ln>
              <a:effectLst/>
            </c:spPr>
          </c:marker>
          <c:val>
            <c:numRef>
              <c:f>'7.Customer Service'!$X$13:$AI$13</c:f>
            </c:numRef>
          </c:val>
          <c:smooth val="0"/>
          <c:extLst>
            <c:ext xmlns:c16="http://schemas.microsoft.com/office/drawing/2014/chart" uri="{C3380CC4-5D6E-409C-BE32-E72D297353CC}">
              <c16:uniqueId val="{00000002-40D1-4A0B-A7DA-3295353A9C4B}"/>
            </c:ext>
          </c:extLst>
        </c:ser>
        <c:ser>
          <c:idx val="3"/>
          <c:order val="3"/>
          <c:tx>
            <c:v>l</c:v>
          </c:tx>
          <c:spPr>
            <a:ln w="28575" cap="rnd">
              <a:solidFill>
                <a:schemeClr val="accent4"/>
              </a:solidFill>
              <a:round/>
            </a:ln>
            <a:effectLst/>
          </c:spPr>
          <c:marker>
            <c:symbol val="none"/>
          </c:marker>
          <c:val>
            <c:numRef>
              <c:f>'7.Customer Service'!$X$14:$AI$14</c:f>
            </c:numRef>
          </c:val>
          <c:smooth val="0"/>
          <c:extLst>
            <c:ext xmlns:c16="http://schemas.microsoft.com/office/drawing/2014/chart" uri="{C3380CC4-5D6E-409C-BE32-E72D297353CC}">
              <c16:uniqueId val="{00000003-40D1-4A0B-A7DA-3295353A9C4B}"/>
            </c:ext>
          </c:extLst>
        </c:ser>
        <c:dLbls>
          <c:showLegendKey val="0"/>
          <c:showVal val="0"/>
          <c:showCatName val="0"/>
          <c:showSerName val="0"/>
          <c:showPercent val="0"/>
          <c:showBubbleSize val="0"/>
        </c:dLbls>
        <c:marker val="1"/>
        <c:smooth val="0"/>
        <c:axId val="434860671"/>
        <c:axId val="434850111"/>
      </c:lineChart>
      <c:dateAx>
        <c:axId val="434860671"/>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850111"/>
        <c:crosses val="autoZero"/>
        <c:auto val="1"/>
        <c:lblOffset val="100"/>
        <c:baseTimeUnit val="months"/>
      </c:dateAx>
      <c:valAx>
        <c:axId val="4348501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860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'8.Commercial Excellence'!$H$14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Excellence'!$I$14:$T$14</c:f>
              <c:numCache>
                <c:formatCode>General</c:formatCode>
                <c:ptCount val="12"/>
                <c:pt idx="0">
                  <c:v>6.9</c:v>
                </c:pt>
                <c:pt idx="1">
                  <c:v>8.5</c:v>
                </c:pt>
                <c:pt idx="2">
                  <c:v>12.6</c:v>
                </c:pt>
                <c:pt idx="3">
                  <c:v>9.5</c:v>
                </c:pt>
                <c:pt idx="4">
                  <c:v>10.6</c:v>
                </c:pt>
                <c:pt idx="5">
                  <c:v>15.6</c:v>
                </c:pt>
                <c:pt idx="6">
                  <c:v>8.9</c:v>
                </c:pt>
                <c:pt idx="7">
                  <c:v>11.9</c:v>
                </c:pt>
                <c:pt idx="8">
                  <c:v>16.5</c:v>
                </c:pt>
                <c:pt idx="9">
                  <c:v>11.2</c:v>
                </c:pt>
                <c:pt idx="10">
                  <c:v>15.9</c:v>
                </c:pt>
                <c:pt idx="11">
                  <c:v>16.899999999999999</c:v>
                </c:pt>
              </c:numCache>
            </c:numRef>
          </c:val>
          <c:smooth val="0"/>
          <c:extLst>
            <c:ext xmlns:c16="http://schemas.microsoft.com/office/drawing/2014/chart" uri="{C3380CC4-5D6E-409C-BE32-E72D297353CC}">
              <c16:uniqueId val="{00000000-35B6-4B28-BE6C-84BA640761CE}"/>
            </c:ext>
          </c:extLst>
        </c:ser>
        <c:ser>
          <c:idx val="1"/>
          <c:order val="1"/>
          <c:tx>
            <c:strRef>
              <c:f>'8.Commercial Excellence'!$H$15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Excellence'!$I$15:$T$15</c:f>
              <c:numCache>
                <c:formatCode>General</c:formatCode>
                <c:ptCount val="12"/>
                <c:pt idx="0">
                  <c:v>7.6</c:v>
                </c:pt>
                <c:pt idx="1">
                  <c:v>8.9</c:v>
                </c:pt>
                <c:pt idx="2">
                  <c:v>18.8</c:v>
                </c:pt>
                <c:pt idx="3">
                  <c:v>7.5</c:v>
                </c:pt>
              </c:numCache>
            </c:numRef>
          </c:val>
          <c:smooth val="0"/>
          <c:extLst>
            <c:ext xmlns:c16="http://schemas.microsoft.com/office/drawing/2014/chart" uri="{C3380CC4-5D6E-409C-BE32-E72D297353CC}">
              <c16:uniqueId val="{00000001-35B6-4B28-BE6C-84BA640761CE}"/>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'8.Commercial Excellence'!$X$4:$AI$4</c:f>
              <c:numCache>
                <c:formatCode>General</c:formatCode>
                <c:ptCount val="12"/>
                <c:pt idx="0">
                  <c:v>7.6</c:v>
                </c:pt>
                <c:pt idx="1">
                  <c:v>8.9</c:v>
                </c:pt>
                <c:pt idx="2">
                  <c:v>18.8</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35B6-4B28-BE6C-84BA640761CE}"/>
            </c:ext>
          </c:extLst>
        </c:ser>
        <c:ser>
          <c:idx val="3"/>
          <c:order val="3"/>
          <c:tx>
            <c:v>red</c:v>
          </c:tx>
          <c:spPr>
            <a:ln w="28575" cap="rnd">
              <a:solidFill>
                <a:schemeClr val="accent4"/>
              </a:solidFill>
              <a:round/>
            </a:ln>
            <a:effectLst/>
          </c:spPr>
          <c:marker>
            <c:symbol val="circle"/>
            <c:size val="3"/>
            <c:spPr>
              <a:solidFill>
                <a:srgbClr val="FF0000"/>
              </a:solidFill>
              <a:ln w="9525">
                <a:noFill/>
              </a:ln>
              <a:effectLst/>
            </c:spPr>
          </c:marker>
          <c:val>
            <c:numRef>
              <c:f>'8.Commercial Excellence'!$X$5:$AI$5</c:f>
              <c:numCache>
                <c:formatCode>General</c:formatCode>
                <c:ptCount val="12"/>
                <c:pt idx="0">
                  <c:v>#N/A</c:v>
                </c:pt>
                <c:pt idx="1">
                  <c:v>#N/A</c:v>
                </c:pt>
                <c:pt idx="2">
                  <c:v>#N/A</c:v>
                </c:pt>
                <c:pt idx="3">
                  <c:v>7.5</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35B6-4B28-BE6C-84BA640761CE}"/>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'8.Commercial Excellence'!$H$16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Excellence'!$I$16:$T$16</c:f>
              <c:numCache>
                <c:formatCode>General</c:formatCode>
                <c:ptCount val="12"/>
              </c:numCache>
            </c:numRef>
          </c:val>
          <c:smooth val="0"/>
          <c:extLst>
            <c:ext xmlns:c16="http://schemas.microsoft.com/office/drawing/2014/chart" uri="{C3380CC4-5D6E-409C-BE32-E72D297353CC}">
              <c16:uniqueId val="{00000000-2338-4DE5-BC5C-2EE8C215FE4A}"/>
            </c:ext>
          </c:extLst>
        </c:ser>
        <c:ser>
          <c:idx val="1"/>
          <c:order val="1"/>
          <c:tx>
            <c:strRef>
              <c:f>'8.Commercial Excellence'!$H$17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Excellence'!$I$17:$T$17</c:f>
              <c:numCache>
                <c:formatCode>General</c:formatCode>
                <c:ptCount val="12"/>
              </c:numCache>
            </c:numRef>
          </c:val>
          <c:smooth val="0"/>
          <c:extLst>
            <c:ext xmlns:c16="http://schemas.microsoft.com/office/drawing/2014/chart" uri="{C3380CC4-5D6E-409C-BE32-E72D297353CC}">
              <c16:uniqueId val="{00000001-2338-4DE5-BC5C-2EE8C215FE4A}"/>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Excellence'!$X$6:$AI$6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2338-4DE5-BC5C-2EE8C215FE4A}"/>
            </c:ext>
          </c:extLst>
        </c:ser>
        <c:ser>
          <c:idx val="3"/>
          <c:order val="3"/>
          <c:tx>
            <c:v>red</c:v>
          </c:tx>
          <c:spPr>
            <a:ln w="28575" cap="rnd">
              <a:solidFill>
                <a:schemeClr val="accent4"/>
              </a:solidFill>
              <a:round/>
            </a:ln>
            <a:effectLst/>
          </c:spPr>
          <c:marker>
            <c:symbol val="circle"/>
            <c:size val="3"/>
            <c:spPr>
              <a:solidFill>
                <a:srgbClr val="FF0000"/>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Excellence'!$X$7:$AI$7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2338-4DE5-BC5C-2EE8C215FE4A}"/>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'8.Commercial Excellence'!$H$18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Excellence'!$I$18:$T$18</c:f>
              <c:numCache>
                <c:formatCode>General</c:formatCode>
                <c:ptCount val="12"/>
              </c:numCache>
            </c:numRef>
          </c:val>
          <c:smooth val="0"/>
          <c:extLst>
            <c:ext xmlns:c16="http://schemas.microsoft.com/office/drawing/2014/chart" uri="{C3380CC4-5D6E-409C-BE32-E72D297353CC}">
              <c16:uniqueId val="{00000000-9B65-4717-9309-76DC55B20015}"/>
            </c:ext>
          </c:extLst>
        </c:ser>
        <c:ser>
          <c:idx val="1"/>
          <c:order val="1"/>
          <c:tx>
            <c:strRef>
              <c:f>'8.Commercial Excellence'!$H$19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Excellence'!$I$19:$T$19</c:f>
              <c:numCache>
                <c:formatCode>General</c:formatCode>
                <c:ptCount val="12"/>
              </c:numCache>
            </c:numRef>
          </c:val>
          <c:smooth val="0"/>
          <c:extLst>
            <c:ext xmlns:c16="http://schemas.microsoft.com/office/drawing/2014/chart" uri="{C3380CC4-5D6E-409C-BE32-E72D297353CC}">
              <c16:uniqueId val="{00000001-9B65-4717-9309-76DC55B20015}"/>
            </c:ext>
          </c:extLst>
        </c:ser>
        <c:ser>
          <c:idx val="2"/>
          <c:order val="2"/>
          <c:tx>
            <c:v>green</c:v>
          </c:tx>
          <c:spPr>
            <a:ln w="15875" cap="rnd">
              <a:solidFill>
                <a:schemeClr val="accent6"/>
              </a:solidFill>
              <a:round/>
            </a:ln>
            <a:effectLst/>
          </c:spPr>
          <c:marker>
            <c:symbol val="circle"/>
            <c:size val="3"/>
            <c:spPr>
              <a:solidFill>
                <a:schemeClr val="accent6">
                  <a:alpha val="99000"/>
                </a:schemeClr>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Excellence'!$X$8:$AI$8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9B65-4717-9309-76DC55B20015}"/>
            </c:ext>
          </c:extLst>
        </c:ser>
        <c:ser>
          <c:idx val="3"/>
          <c:order val="3"/>
          <c:tx>
            <c:v>red</c:v>
          </c:tx>
          <c:spPr>
            <a:ln w="28575" cap="rnd">
              <a:solidFill>
                <a:schemeClr val="accent4"/>
              </a:solidFill>
              <a:round/>
            </a:ln>
            <a:effectLst/>
          </c:spPr>
          <c:marker>
            <c:symbol val="circle"/>
            <c:size val="3"/>
            <c:spPr>
              <a:solidFill>
                <a:srgbClr val="FF0000">
                  <a:alpha val="86000"/>
                </a:srgbClr>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Excellence'!$X$9:$AI$9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9B65-4717-9309-76DC55B20015}"/>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'8.Commercial Excellence'!$H$20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Excellence'!$I$20:$T$20</c:f>
              <c:numCache>
                <c:formatCode>0%</c:formatCode>
                <c:ptCount val="12"/>
                <c:pt idx="0">
                  <c:v>0.6</c:v>
                </c:pt>
                <c:pt idx="1">
                  <c:v>0.6</c:v>
                </c:pt>
                <c:pt idx="2">
                  <c:v>0.6</c:v>
                </c:pt>
              </c:numCache>
            </c:numRef>
          </c:val>
          <c:smooth val="0"/>
          <c:extLst>
            <c:ext xmlns:c16="http://schemas.microsoft.com/office/drawing/2014/chart" uri="{C3380CC4-5D6E-409C-BE32-E72D297353CC}">
              <c16:uniqueId val="{00000000-B448-4113-BB04-8432E205FD84}"/>
            </c:ext>
          </c:extLst>
        </c:ser>
        <c:ser>
          <c:idx val="1"/>
          <c:order val="1"/>
          <c:tx>
            <c:strRef>
              <c:f>'8.Commercial Excellence'!$H$21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Excellence'!$I$21:$T$21</c:f>
              <c:numCache>
                <c:formatCode>0%</c:formatCode>
                <c:ptCount val="12"/>
                <c:pt idx="0">
                  <c:v>0.6</c:v>
                </c:pt>
                <c:pt idx="1">
                  <c:v>0.56000000000000005</c:v>
                </c:pt>
                <c:pt idx="2">
                  <c:v>0.57999999999999996</c:v>
                </c:pt>
              </c:numCache>
            </c:numRef>
          </c:val>
          <c:smooth val="0"/>
          <c:extLst>
            <c:ext xmlns:c16="http://schemas.microsoft.com/office/drawing/2014/chart" uri="{C3380CC4-5D6E-409C-BE32-E72D297353CC}">
              <c16:uniqueId val="{00000001-B448-4113-BB04-8432E205FD84}"/>
            </c:ext>
          </c:extLst>
        </c:ser>
        <c:ser>
          <c:idx val="2"/>
          <c:order val="2"/>
          <c:tx>
            <c:v>green</c:v>
          </c:tx>
          <c:spPr>
            <a:ln w="28575" cap="rnd">
              <a:solidFill>
                <a:schemeClr val="accent3"/>
              </a:solidFill>
              <a:round/>
            </a:ln>
            <a:effectLst/>
          </c:spPr>
          <c:marker>
            <c:symbol val="circle"/>
            <c:size val="3"/>
            <c:spPr>
              <a:solidFill>
                <a:schemeClr val="accent6"/>
              </a:solidFill>
              <a:ln w="9525">
                <a:solidFill>
                  <a:schemeClr val="accent6"/>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Excellence'!$X$10:$AI$10</c:f>
              <c:numCache>
                <c:formatCode>General</c:formatCode>
                <c:ptCount val="12"/>
                <c:pt idx="0">
                  <c:v>0.6</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B448-4113-BB04-8432E205FD84}"/>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Excellence'!$X$11:$AI$11</c:f>
              <c:numCache>
                <c:formatCode>General</c:formatCode>
                <c:ptCount val="12"/>
                <c:pt idx="0">
                  <c:v>#N/A</c:v>
                </c:pt>
                <c:pt idx="1">
                  <c:v>0.56000000000000005</c:v>
                </c:pt>
                <c:pt idx="2">
                  <c:v>0.57999999999999996</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448-4113-BB04-8432E205FD84}"/>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'8.Commercial Excellence'!$H$22</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dPt>
            <c:idx val="1"/>
            <c:marker>
              <c:symbol val="circle"/>
              <c:size val="3"/>
              <c:spPr>
                <a:solidFill>
                  <a:schemeClr val="accent1"/>
                </a:solidFill>
                <a:ln w="9525">
                  <a:solidFill>
                    <a:schemeClr val="accent1"/>
                  </a:solidFill>
                </a:ln>
                <a:effectLst/>
              </c:spPr>
            </c:marker>
            <c:bubble3D val="0"/>
            <c:spPr>
              <a:ln w="15875" cap="rnd">
                <a:solidFill>
                  <a:schemeClr val="accent1"/>
                </a:solidFill>
                <a:round/>
              </a:ln>
              <a:effectLst/>
            </c:spPr>
            <c:extLst>
              <c:ext xmlns:c16="http://schemas.microsoft.com/office/drawing/2014/chart" uri="{C3380CC4-5D6E-409C-BE32-E72D297353CC}">
                <c16:uniqueId val="{00000004-B5A6-4C6B-99CD-50E638A010C0}"/>
              </c:ext>
            </c:extLst>
          </c:dPt>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Excellence'!$I$22:$T$22</c:f>
              <c:numCache>
                <c:formatCode>General</c:formatCode>
                <c:ptCount val="12"/>
                <c:pt idx="0">
                  <c:v>28</c:v>
                </c:pt>
                <c:pt idx="1">
                  <c:v>35</c:v>
                </c:pt>
                <c:pt idx="2">
                  <c:v>52</c:v>
                </c:pt>
                <c:pt idx="3">
                  <c:v>39</c:v>
                </c:pt>
                <c:pt idx="4">
                  <c:v>44</c:v>
                </c:pt>
                <c:pt idx="5">
                  <c:v>64</c:v>
                </c:pt>
                <c:pt idx="6">
                  <c:v>37</c:v>
                </c:pt>
                <c:pt idx="7">
                  <c:v>49</c:v>
                </c:pt>
                <c:pt idx="8">
                  <c:v>68</c:v>
                </c:pt>
                <c:pt idx="9">
                  <c:v>46</c:v>
                </c:pt>
                <c:pt idx="10">
                  <c:v>65</c:v>
                </c:pt>
                <c:pt idx="11">
                  <c:v>69</c:v>
                </c:pt>
              </c:numCache>
            </c:numRef>
          </c:val>
          <c:smooth val="0"/>
          <c:extLst>
            <c:ext xmlns:c16="http://schemas.microsoft.com/office/drawing/2014/chart" uri="{C3380CC4-5D6E-409C-BE32-E72D297353CC}">
              <c16:uniqueId val="{00000000-B5A6-4C6B-99CD-50E638A010C0}"/>
            </c:ext>
          </c:extLst>
        </c:ser>
        <c:ser>
          <c:idx val="1"/>
          <c:order val="1"/>
          <c:tx>
            <c:strRef>
              <c:f>'8.Commercial Excellence'!$H$23</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Excellence'!$I$23:$T$23</c:f>
              <c:numCache>
                <c:formatCode>General</c:formatCode>
                <c:ptCount val="12"/>
                <c:pt idx="0">
                  <c:v>20</c:v>
                </c:pt>
                <c:pt idx="1">
                  <c:v>25</c:v>
                </c:pt>
                <c:pt idx="2">
                  <c:v>43</c:v>
                </c:pt>
              </c:numCache>
            </c:numRef>
          </c:val>
          <c:smooth val="0"/>
          <c:extLst>
            <c:ext xmlns:c16="http://schemas.microsoft.com/office/drawing/2014/chart" uri="{C3380CC4-5D6E-409C-BE32-E72D297353CC}">
              <c16:uniqueId val="{00000001-B5A6-4C6B-99CD-50E638A010C0}"/>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Excellence'!$X$12:$AI$12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B5A6-4C6B-99CD-50E638A010C0}"/>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Excellence'!$X$13:$AI$13</c:f>
              <c:numCache>
                <c:formatCode>General</c:formatCode>
                <c:ptCount val="12"/>
                <c:pt idx="0">
                  <c:v>20</c:v>
                </c:pt>
                <c:pt idx="1">
                  <c:v>25</c:v>
                </c:pt>
                <c:pt idx="2">
                  <c:v>43</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5A6-4C6B-99CD-50E638A010C0}"/>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'9.NAR '!$H$14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'!$I$14:$T$14</c:f>
              <c:numCache>
                <c:formatCode>General</c:formatCode>
                <c:ptCount val="12"/>
                <c:pt idx="0">
                  <c:v>7.2</c:v>
                </c:pt>
                <c:pt idx="1">
                  <c:v>7.2</c:v>
                </c:pt>
                <c:pt idx="2">
                  <c:v>9.6</c:v>
                </c:pt>
                <c:pt idx="3">
                  <c:v>7.2</c:v>
                </c:pt>
                <c:pt idx="4">
                  <c:v>7.2</c:v>
                </c:pt>
                <c:pt idx="5">
                  <c:v>9.6</c:v>
                </c:pt>
                <c:pt idx="6">
                  <c:v>8.4</c:v>
                </c:pt>
                <c:pt idx="7">
                  <c:v>8.4</c:v>
                </c:pt>
                <c:pt idx="8">
                  <c:v>16.8</c:v>
                </c:pt>
                <c:pt idx="9">
                  <c:v>11.1</c:v>
                </c:pt>
                <c:pt idx="10">
                  <c:v>12.3</c:v>
                </c:pt>
                <c:pt idx="11">
                  <c:v>12.6</c:v>
                </c:pt>
              </c:numCache>
            </c:numRef>
          </c:val>
          <c:smooth val="0"/>
          <c:extLst>
            <c:ext xmlns:c16="http://schemas.microsoft.com/office/drawing/2014/chart" uri="{C3380CC4-5D6E-409C-BE32-E72D297353CC}">
              <c16:uniqueId val="{00000000-4EE2-4440-8114-D8382AF57D9D}"/>
            </c:ext>
          </c:extLst>
        </c:ser>
        <c:ser>
          <c:idx val="1"/>
          <c:order val="1"/>
          <c:tx>
            <c:strRef>
              <c:f>'9.NAR '!$H$15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'!$I$15:$T$15</c:f>
              <c:numCache>
                <c:formatCode>General</c:formatCode>
                <c:ptCount val="12"/>
                <c:pt idx="0">
                  <c:v>7.4</c:v>
                </c:pt>
                <c:pt idx="1">
                  <c:v>7.1</c:v>
                </c:pt>
                <c:pt idx="2">
                  <c:v>10</c:v>
                </c:pt>
                <c:pt idx="3">
                  <c:v>9.81</c:v>
                </c:pt>
                <c:pt idx="4">
                  <c:v>12.3</c:v>
                </c:pt>
                <c:pt idx="5">
                  <c:v>7.7</c:v>
                </c:pt>
                <c:pt idx="6">
                  <c:v>9.8000000000000007</c:v>
                </c:pt>
                <c:pt idx="7">
                  <c:v>5.2</c:v>
                </c:pt>
              </c:numCache>
            </c:numRef>
          </c:val>
          <c:smooth val="0"/>
          <c:extLst>
            <c:ext xmlns:c16="http://schemas.microsoft.com/office/drawing/2014/chart" uri="{C3380CC4-5D6E-409C-BE32-E72D297353CC}">
              <c16:uniqueId val="{00000001-4EE2-4440-8114-D8382AF57D9D}"/>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'9.NAR '!$X$1:$AI$1</c:f>
              <c:numCache>
                <c:formatCode>General</c:formatCode>
                <c:ptCount val="12"/>
                <c:pt idx="0">
                  <c:v>7.4</c:v>
                </c:pt>
                <c:pt idx="1">
                  <c:v>#N/A</c:v>
                </c:pt>
                <c:pt idx="2">
                  <c:v>10</c:v>
                </c:pt>
                <c:pt idx="3">
                  <c:v>9.81</c:v>
                </c:pt>
                <c:pt idx="4">
                  <c:v>12.3</c:v>
                </c:pt>
                <c:pt idx="5">
                  <c:v>#N/A</c:v>
                </c:pt>
                <c:pt idx="6">
                  <c:v>9.8000000000000007</c:v>
                </c:pt>
                <c:pt idx="7">
                  <c:v>#N/A</c:v>
                </c:pt>
                <c:pt idx="8">
                  <c:v>#N/A</c:v>
                </c:pt>
                <c:pt idx="9">
                  <c:v>#N/A</c:v>
                </c:pt>
                <c:pt idx="10">
                  <c:v>#N/A</c:v>
                </c:pt>
                <c:pt idx="11">
                  <c:v>#N/A</c:v>
                </c:pt>
              </c:numCache>
            </c:numRef>
          </c:val>
          <c:smooth val="0"/>
          <c:extLst>
            <c:ext xmlns:c16="http://schemas.microsoft.com/office/drawing/2014/chart" uri="{C3380CC4-5D6E-409C-BE32-E72D297353CC}">
              <c16:uniqueId val="{00000002-4EE2-4440-8114-D8382AF57D9D}"/>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'9.NAR '!$X$2:$AI$2</c:f>
              <c:numCache>
                <c:formatCode>General</c:formatCode>
                <c:ptCount val="12"/>
                <c:pt idx="0">
                  <c:v>#N/A</c:v>
                </c:pt>
                <c:pt idx="1">
                  <c:v>7.1</c:v>
                </c:pt>
                <c:pt idx="2">
                  <c:v>#N/A</c:v>
                </c:pt>
                <c:pt idx="3">
                  <c:v>#N/A</c:v>
                </c:pt>
                <c:pt idx="4">
                  <c:v>#N/A</c:v>
                </c:pt>
                <c:pt idx="5">
                  <c:v>7.7</c:v>
                </c:pt>
                <c:pt idx="6">
                  <c:v>#N/A</c:v>
                </c:pt>
                <c:pt idx="7">
                  <c:v>5.2</c:v>
                </c:pt>
                <c:pt idx="8">
                  <c:v>#N/A</c:v>
                </c:pt>
                <c:pt idx="9">
                  <c:v>#N/A</c:v>
                </c:pt>
                <c:pt idx="10">
                  <c:v>#N/A</c:v>
                </c:pt>
                <c:pt idx="11">
                  <c:v>#N/A</c:v>
                </c:pt>
              </c:numCache>
            </c:numRef>
          </c:val>
          <c:smooth val="0"/>
          <c:extLst>
            <c:ext xmlns:c16="http://schemas.microsoft.com/office/drawing/2014/chart" uri="{C3380CC4-5D6E-409C-BE32-E72D297353CC}">
              <c16:uniqueId val="{00000003-4EE2-4440-8114-D8382AF57D9D}"/>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'9.NAR '!$H$16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'!$I$16:$T$16</c:f>
              <c:numCache>
                <c:formatCode>General</c:formatCode>
                <c:ptCount val="12"/>
                <c:pt idx="0">
                  <c:v>7</c:v>
                </c:pt>
                <c:pt idx="1">
                  <c:v>8</c:v>
                </c:pt>
                <c:pt idx="2">
                  <c:v>10</c:v>
                </c:pt>
                <c:pt idx="3">
                  <c:v>9</c:v>
                </c:pt>
                <c:pt idx="4">
                  <c:v>10</c:v>
                </c:pt>
                <c:pt idx="5">
                  <c:v>12</c:v>
                </c:pt>
                <c:pt idx="6">
                  <c:v>9</c:v>
                </c:pt>
                <c:pt idx="7">
                  <c:v>10</c:v>
                </c:pt>
                <c:pt idx="8">
                  <c:v>12</c:v>
                </c:pt>
                <c:pt idx="9">
                  <c:v>11</c:v>
                </c:pt>
                <c:pt idx="10">
                  <c:v>13</c:v>
                </c:pt>
                <c:pt idx="11">
                  <c:v>14</c:v>
                </c:pt>
              </c:numCache>
            </c:numRef>
          </c:val>
          <c:smooth val="0"/>
          <c:extLst>
            <c:ext xmlns:c16="http://schemas.microsoft.com/office/drawing/2014/chart" uri="{C3380CC4-5D6E-409C-BE32-E72D297353CC}">
              <c16:uniqueId val="{00000000-0BD7-4A8D-B449-5AD8CF1F9062}"/>
            </c:ext>
          </c:extLst>
        </c:ser>
        <c:ser>
          <c:idx val="1"/>
          <c:order val="1"/>
          <c:tx>
            <c:strRef>
              <c:f>'9.NAR '!$H$17</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'!$I$17:$T$17</c:f>
              <c:numCache>
                <c:formatCode>General</c:formatCode>
                <c:ptCount val="12"/>
                <c:pt idx="0">
                  <c:v>10</c:v>
                </c:pt>
                <c:pt idx="1">
                  <c:v>9</c:v>
                </c:pt>
                <c:pt idx="2">
                  <c:v>6</c:v>
                </c:pt>
                <c:pt idx="3">
                  <c:v>7.5</c:v>
                </c:pt>
                <c:pt idx="4">
                  <c:v>8</c:v>
                </c:pt>
                <c:pt idx="5">
                  <c:v>11</c:v>
                </c:pt>
                <c:pt idx="6">
                  <c:v>10</c:v>
                </c:pt>
              </c:numCache>
            </c:numRef>
          </c:val>
          <c:smooth val="0"/>
          <c:extLst>
            <c:ext xmlns:c16="http://schemas.microsoft.com/office/drawing/2014/chart" uri="{C3380CC4-5D6E-409C-BE32-E72D297353CC}">
              <c16:uniqueId val="{00000001-0BD7-4A8D-B449-5AD8CF1F9062}"/>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'9.NAR '!$X$3:$AI$3</c:f>
              <c:numCache>
                <c:formatCode>General</c:formatCode>
                <c:ptCount val="12"/>
                <c:pt idx="0">
                  <c:v>10</c:v>
                </c:pt>
                <c:pt idx="1">
                  <c:v>9</c:v>
                </c:pt>
                <c:pt idx="2">
                  <c:v>#N/A</c:v>
                </c:pt>
                <c:pt idx="3">
                  <c:v>#N/A</c:v>
                </c:pt>
                <c:pt idx="4">
                  <c:v>#N/A</c:v>
                </c:pt>
                <c:pt idx="5">
                  <c:v>#N/A</c:v>
                </c:pt>
                <c:pt idx="6">
                  <c:v>10</c:v>
                </c:pt>
                <c:pt idx="7">
                  <c:v>#N/A</c:v>
                </c:pt>
                <c:pt idx="8">
                  <c:v>#N/A</c:v>
                </c:pt>
                <c:pt idx="9">
                  <c:v>#N/A</c:v>
                </c:pt>
                <c:pt idx="10">
                  <c:v>#N/A</c:v>
                </c:pt>
                <c:pt idx="11">
                  <c:v>#N/A</c:v>
                </c:pt>
              </c:numCache>
            </c:numRef>
          </c:val>
          <c:smooth val="0"/>
          <c:extLst>
            <c:ext xmlns:c16="http://schemas.microsoft.com/office/drawing/2014/chart" uri="{C3380CC4-5D6E-409C-BE32-E72D297353CC}">
              <c16:uniqueId val="{00000002-0BD7-4A8D-B449-5AD8CF1F9062}"/>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'9.NAR '!$X$4:$AI$4</c:f>
              <c:numCache>
                <c:formatCode>General</c:formatCode>
                <c:ptCount val="12"/>
                <c:pt idx="0">
                  <c:v>#N/A</c:v>
                </c:pt>
                <c:pt idx="1">
                  <c:v>#N/A</c:v>
                </c:pt>
                <c:pt idx="2">
                  <c:v>6</c:v>
                </c:pt>
                <c:pt idx="3">
                  <c:v>7.5</c:v>
                </c:pt>
                <c:pt idx="4">
                  <c:v>8</c:v>
                </c:pt>
                <c:pt idx="5">
                  <c:v>11</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0BD7-4A8D-B449-5AD8CF1F9062}"/>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'9.NAR '!$H$18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'!$I$18:$T$18</c:f>
              <c:numCache>
                <c:formatCode>General</c:formatCode>
                <c:ptCount val="12"/>
                <c:pt idx="0">
                  <c:v>50</c:v>
                </c:pt>
                <c:pt idx="1">
                  <c:v>50</c:v>
                </c:pt>
                <c:pt idx="2">
                  <c:v>50</c:v>
                </c:pt>
                <c:pt idx="3">
                  <c:v>50</c:v>
                </c:pt>
                <c:pt idx="4">
                  <c:v>50</c:v>
                </c:pt>
                <c:pt idx="5">
                  <c:v>50</c:v>
                </c:pt>
                <c:pt idx="6">
                  <c:v>50</c:v>
                </c:pt>
                <c:pt idx="7">
                  <c:v>50</c:v>
                </c:pt>
                <c:pt idx="8">
                  <c:v>50</c:v>
                </c:pt>
                <c:pt idx="9">
                  <c:v>50</c:v>
                </c:pt>
                <c:pt idx="10">
                  <c:v>50</c:v>
                </c:pt>
                <c:pt idx="11">
                  <c:v>50</c:v>
                </c:pt>
              </c:numCache>
            </c:numRef>
          </c:val>
          <c:smooth val="0"/>
          <c:extLst>
            <c:ext xmlns:c16="http://schemas.microsoft.com/office/drawing/2014/chart" uri="{C3380CC4-5D6E-409C-BE32-E72D297353CC}">
              <c16:uniqueId val="{00000000-957E-4AF1-860A-263A52EC8917}"/>
            </c:ext>
          </c:extLst>
        </c:ser>
        <c:ser>
          <c:idx val="1"/>
          <c:order val="1"/>
          <c:tx>
            <c:strRef>
              <c:f>'9.NAR '!$H$19</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'!$I$19:$T$19</c:f>
              <c:numCache>
                <c:formatCode>0</c:formatCode>
                <c:ptCount val="12"/>
                <c:pt idx="0">
                  <c:v>85.7</c:v>
                </c:pt>
                <c:pt idx="1">
                  <c:v>61.5</c:v>
                </c:pt>
                <c:pt idx="2">
                  <c:v>50</c:v>
                </c:pt>
                <c:pt idx="3">
                  <c:v>38.5</c:v>
                </c:pt>
                <c:pt idx="4" formatCode="General">
                  <c:v>85.7</c:v>
                </c:pt>
                <c:pt idx="5" formatCode="General">
                  <c:v>42.9</c:v>
                </c:pt>
                <c:pt idx="6" formatCode="General">
                  <c:v>100</c:v>
                </c:pt>
              </c:numCache>
            </c:numRef>
          </c:val>
          <c:smooth val="0"/>
          <c:extLst>
            <c:ext xmlns:c16="http://schemas.microsoft.com/office/drawing/2014/chart" uri="{C3380CC4-5D6E-409C-BE32-E72D297353CC}">
              <c16:uniqueId val="{00000001-957E-4AF1-860A-263A52EC8917}"/>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'9.NAR '!$X$5:$AI$5</c:f>
              <c:numCache>
                <c:formatCode>General</c:formatCode>
                <c:ptCount val="12"/>
                <c:pt idx="0">
                  <c:v>85.7</c:v>
                </c:pt>
                <c:pt idx="1">
                  <c:v>61.5</c:v>
                </c:pt>
                <c:pt idx="2">
                  <c:v>50</c:v>
                </c:pt>
                <c:pt idx="3">
                  <c:v>#N/A</c:v>
                </c:pt>
                <c:pt idx="4">
                  <c:v>85.7</c:v>
                </c:pt>
                <c:pt idx="5">
                  <c:v>#N/A</c:v>
                </c:pt>
                <c:pt idx="6">
                  <c:v>100</c:v>
                </c:pt>
                <c:pt idx="7">
                  <c:v>#N/A</c:v>
                </c:pt>
                <c:pt idx="8">
                  <c:v>#N/A</c:v>
                </c:pt>
                <c:pt idx="9">
                  <c:v>#N/A</c:v>
                </c:pt>
                <c:pt idx="10">
                  <c:v>#N/A</c:v>
                </c:pt>
                <c:pt idx="11">
                  <c:v>#N/A</c:v>
                </c:pt>
              </c:numCache>
            </c:numRef>
          </c:val>
          <c:smooth val="0"/>
          <c:extLst>
            <c:ext xmlns:c16="http://schemas.microsoft.com/office/drawing/2014/chart" uri="{C3380CC4-5D6E-409C-BE32-E72D297353CC}">
              <c16:uniqueId val="{00000002-957E-4AF1-860A-263A52EC8917}"/>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'9.NAR '!$X$6:$AI$6</c:f>
              <c:numCache>
                <c:formatCode>General</c:formatCode>
                <c:ptCount val="12"/>
                <c:pt idx="0">
                  <c:v>#N/A</c:v>
                </c:pt>
                <c:pt idx="1">
                  <c:v>#N/A</c:v>
                </c:pt>
                <c:pt idx="2">
                  <c:v>#N/A</c:v>
                </c:pt>
                <c:pt idx="3">
                  <c:v>38.5</c:v>
                </c:pt>
                <c:pt idx="4">
                  <c:v>#N/A</c:v>
                </c:pt>
                <c:pt idx="5">
                  <c:v>42.9</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957E-4AF1-860A-263A52EC8917}"/>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'9.NAR '!$H$20</c:f>
              <c:strCache>
                <c:ptCount val="1"/>
                <c:pt idx="0">
                  <c:v>Target</c:v>
                </c:pt>
              </c:strCache>
            </c:strRef>
          </c:tx>
          <c:spPr>
            <a:ln w="15875" cap="rnd">
              <a:solidFill>
                <a:schemeClr val="accent1">
                  <a:alpha val="97000"/>
                </a:schemeClr>
              </a:solidFill>
              <a:round/>
            </a:ln>
            <a:effectLst/>
          </c:spPr>
          <c:marker>
            <c:symbol val="circle"/>
            <c:size val="3"/>
            <c:spPr>
              <a:solidFill>
                <a:schemeClr val="accent1"/>
              </a:solidFill>
              <a:ln w="9525">
                <a:solidFill>
                  <a:schemeClr val="accent1"/>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'!$I$20:$T$20</c:f>
              <c:numCache>
                <c:formatCode>General</c:formatCode>
                <c:ptCount val="12"/>
                <c:pt idx="0">
                  <c:v>26</c:v>
                </c:pt>
                <c:pt idx="1">
                  <c:v>26</c:v>
                </c:pt>
                <c:pt idx="2">
                  <c:v>26</c:v>
                </c:pt>
                <c:pt idx="3">
                  <c:v>26</c:v>
                </c:pt>
                <c:pt idx="4">
                  <c:v>26</c:v>
                </c:pt>
                <c:pt idx="5">
                  <c:v>26</c:v>
                </c:pt>
                <c:pt idx="6">
                  <c:v>26</c:v>
                </c:pt>
                <c:pt idx="7">
                  <c:v>26</c:v>
                </c:pt>
                <c:pt idx="8">
                  <c:v>26</c:v>
                </c:pt>
                <c:pt idx="9">
                  <c:v>26</c:v>
                </c:pt>
                <c:pt idx="10">
                  <c:v>26</c:v>
                </c:pt>
                <c:pt idx="11">
                  <c:v>26</c:v>
                </c:pt>
              </c:numCache>
            </c:numRef>
          </c:val>
          <c:smooth val="0"/>
          <c:extLst>
            <c:ext xmlns:c16="http://schemas.microsoft.com/office/drawing/2014/chart" uri="{C3380CC4-5D6E-409C-BE32-E72D297353CC}">
              <c16:uniqueId val="{00000000-D6F6-42DB-B7A9-3E0D1843882D}"/>
            </c:ext>
          </c:extLst>
        </c:ser>
        <c:ser>
          <c:idx val="1"/>
          <c:order val="1"/>
          <c:tx>
            <c:strRef>
              <c:f>'9.NAR '!$H$21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'!$I$21:$T$21</c:f>
              <c:numCache>
                <c:formatCode>General</c:formatCode>
                <c:ptCount val="12"/>
                <c:pt idx="0">
                  <c:v>17.8</c:v>
                </c:pt>
                <c:pt idx="1">
                  <c:v>17.8</c:v>
                </c:pt>
                <c:pt idx="2">
                  <c:v>17.8</c:v>
                </c:pt>
              </c:numCache>
            </c:numRef>
          </c:val>
          <c:smooth val="0"/>
          <c:extLst>
            <c:ext xmlns:c16="http://schemas.microsoft.com/office/drawing/2014/chart" uri="{C3380CC4-5D6E-409C-BE32-E72D297353CC}">
              <c16:uniqueId val="{00000001-D6F6-42DB-B7A9-3E0D1843882D}"/>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'9.NAR '!$X$7:$AI$7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D6F6-42DB-B7A9-3E0D1843882D}"/>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'9.NAR '!$X$8:$AI$8</c:f>
              <c:numCache>
                <c:formatCode>General</c:formatCode>
                <c:ptCount val="12"/>
                <c:pt idx="0">
                  <c:v>17.8</c:v>
                </c:pt>
                <c:pt idx="1">
                  <c:v>17.8</c:v>
                </c:pt>
                <c:pt idx="2">
                  <c:v>17.8</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D6F6-42DB-B7A9-3E0D1843882D}"/>
            </c:ext>
          </c:extLst>
        </c:ser>
        <c:dLbls>
          <c:showLegendKey val="0"/>
          <c:showVal val="0"/>
          <c:showCatName val="0"/>
          <c:showSerName val="0"/>
          <c:showPercent val="0"/>
          <c:showBubbleSize val="0"/>
        </c:dLbls>
        <c:marker val="1"/>
        <c:smooth val="0"/>
        <c:axId val="180688111"/>
        <c:axId val="180691471"/>
      </c:lineChart>
      <c:dateAx>
        <c:axId val="180688111"/>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91471"/>
        <c:crosses val="autoZero"/>
        <c:auto val="1"/>
        <c:lblOffset val="100"/>
        <c:baseTimeUnit val="months"/>
      </c:dateAx>
      <c:valAx>
        <c:axId val="18069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11"/>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'9.NAR '!$H$22</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'!$I$22:$T$22</c:f>
              <c:numCache>
                <c:formatCode>General</c:formatCode>
                <c:ptCount val="12"/>
                <c:pt idx="0">
                  <c:v>28</c:v>
                </c:pt>
                <c:pt idx="1">
                  <c:v>28</c:v>
                </c:pt>
                <c:pt idx="2">
                  <c:v>28</c:v>
                </c:pt>
                <c:pt idx="3">
                  <c:v>28</c:v>
                </c:pt>
                <c:pt idx="4">
                  <c:v>28</c:v>
                </c:pt>
                <c:pt idx="5">
                  <c:v>28</c:v>
                </c:pt>
                <c:pt idx="6">
                  <c:v>28</c:v>
                </c:pt>
                <c:pt idx="7">
                  <c:v>28</c:v>
                </c:pt>
                <c:pt idx="8">
                  <c:v>28</c:v>
                </c:pt>
                <c:pt idx="9">
                  <c:v>28</c:v>
                </c:pt>
                <c:pt idx="10">
                  <c:v>28</c:v>
                </c:pt>
                <c:pt idx="11">
                  <c:v>28</c:v>
                </c:pt>
              </c:numCache>
            </c:numRef>
          </c:val>
          <c:smooth val="0"/>
          <c:extLst>
            <c:ext xmlns:c16="http://schemas.microsoft.com/office/drawing/2014/chart" uri="{C3380CC4-5D6E-409C-BE32-E72D297353CC}">
              <c16:uniqueId val="{00000000-0E5E-4731-8C77-8200AB27F824}"/>
            </c:ext>
          </c:extLst>
        </c:ser>
        <c:ser>
          <c:idx val="1"/>
          <c:order val="1"/>
          <c:tx>
            <c:strRef>
              <c:f>'9.NAR '!$H$23</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'!$I$23:$T$23</c:f>
              <c:numCache>
                <c:formatCode>General</c:formatCode>
                <c:ptCount val="12"/>
                <c:pt idx="0">
                  <c:v>26</c:v>
                </c:pt>
                <c:pt idx="1">
                  <c:v>45.7</c:v>
                </c:pt>
                <c:pt idx="2">
                  <c:v>44</c:v>
                </c:pt>
                <c:pt idx="3">
                  <c:v>31.5</c:v>
                </c:pt>
                <c:pt idx="4">
                  <c:v>26.5</c:v>
                </c:pt>
                <c:pt idx="5">
                  <c:v>52</c:v>
                </c:pt>
                <c:pt idx="6">
                  <c:v>38</c:v>
                </c:pt>
              </c:numCache>
            </c:numRef>
          </c:val>
          <c:smooth val="0"/>
          <c:extLst>
            <c:ext xmlns:c16="http://schemas.microsoft.com/office/drawing/2014/chart" uri="{C3380CC4-5D6E-409C-BE32-E72D297353CC}">
              <c16:uniqueId val="{00000001-0E5E-4731-8C77-8200AB27F824}"/>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'9.NAR '!$X$9:$AI$9</c:f>
              <c:numCache>
                <c:formatCode>General</c:formatCode>
                <c:ptCount val="12"/>
                <c:pt idx="0">
                  <c:v>#N/A</c:v>
                </c:pt>
                <c:pt idx="1">
                  <c:v>45.7</c:v>
                </c:pt>
                <c:pt idx="2">
                  <c:v>44</c:v>
                </c:pt>
                <c:pt idx="3">
                  <c:v>31.5</c:v>
                </c:pt>
                <c:pt idx="4">
                  <c:v>#N/A</c:v>
                </c:pt>
                <c:pt idx="5">
                  <c:v>52</c:v>
                </c:pt>
                <c:pt idx="6">
                  <c:v>38</c:v>
                </c:pt>
                <c:pt idx="7">
                  <c:v>#N/A</c:v>
                </c:pt>
                <c:pt idx="8">
                  <c:v>#N/A</c:v>
                </c:pt>
                <c:pt idx="9">
                  <c:v>#N/A</c:v>
                </c:pt>
                <c:pt idx="10">
                  <c:v>#N/A</c:v>
                </c:pt>
                <c:pt idx="11">
                  <c:v>#N/A</c:v>
                </c:pt>
              </c:numCache>
            </c:numRef>
          </c:val>
          <c:smooth val="0"/>
          <c:extLst>
            <c:ext xmlns:c16="http://schemas.microsoft.com/office/drawing/2014/chart" uri="{C3380CC4-5D6E-409C-BE32-E72D297353CC}">
              <c16:uniqueId val="{00000002-0E5E-4731-8C77-8200AB27F824}"/>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'9.NAR '!$X$10:$AI$10</c:f>
              <c:numCache>
                <c:formatCode>General</c:formatCode>
                <c:ptCount val="12"/>
                <c:pt idx="0">
                  <c:v>26</c:v>
                </c:pt>
                <c:pt idx="1">
                  <c:v>#N/A</c:v>
                </c:pt>
                <c:pt idx="2">
                  <c:v>#N/A</c:v>
                </c:pt>
                <c:pt idx="3">
                  <c:v>#N/A</c:v>
                </c:pt>
                <c:pt idx="4">
                  <c:v>26.5</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0E5E-4731-8C77-8200AB27F824}"/>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'9.NAR '!$H$24</c:f>
              <c:strCache>
                <c:ptCount val="1"/>
                <c:pt idx="0">
                  <c:v>Target</c:v>
                </c:pt>
              </c:strCache>
            </c:strRef>
          </c:tx>
          <c:spPr>
            <a:ln w="15875" cap="rnd">
              <a:solidFill>
                <a:schemeClr val="accent1">
                  <a:alpha val="98000"/>
                </a:schemeClr>
              </a:solidFill>
              <a:round/>
            </a:ln>
            <a:effectLst/>
          </c:spPr>
          <c:marker>
            <c:symbol val="circle"/>
            <c:size val="5"/>
            <c:spPr>
              <a:solidFill>
                <a:schemeClr val="accent1"/>
              </a:solidFill>
              <a:ln w="6350">
                <a:solidFill>
                  <a:schemeClr val="accent1">
                    <a:alpha val="97000"/>
                  </a:schemeClr>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'!$I$24:$T$24</c:f>
              <c:numCache>
                <c:formatCode>0%</c:formatCode>
                <c:ptCount val="12"/>
                <c:pt idx="0">
                  <c:v>0.34</c:v>
                </c:pt>
                <c:pt idx="1">
                  <c:v>0.34</c:v>
                </c:pt>
                <c:pt idx="2">
                  <c:v>0.34</c:v>
                </c:pt>
                <c:pt idx="3">
                  <c:v>0.34</c:v>
                </c:pt>
                <c:pt idx="4">
                  <c:v>0.34</c:v>
                </c:pt>
                <c:pt idx="5">
                  <c:v>0.34</c:v>
                </c:pt>
                <c:pt idx="6">
                  <c:v>0.34</c:v>
                </c:pt>
                <c:pt idx="7">
                  <c:v>0.34</c:v>
                </c:pt>
                <c:pt idx="8">
                  <c:v>0.34</c:v>
                </c:pt>
                <c:pt idx="9">
                  <c:v>0.34</c:v>
                </c:pt>
                <c:pt idx="10">
                  <c:v>0.34</c:v>
                </c:pt>
                <c:pt idx="11">
                  <c:v>0.34</c:v>
                </c:pt>
              </c:numCache>
            </c:numRef>
          </c:val>
          <c:smooth val="0"/>
          <c:extLst>
            <c:ext xmlns:c16="http://schemas.microsoft.com/office/drawing/2014/chart" uri="{C3380CC4-5D6E-409C-BE32-E72D297353CC}">
              <c16:uniqueId val="{00000000-1D21-4D9B-9314-A035D39476F8}"/>
            </c:ext>
          </c:extLst>
        </c:ser>
        <c:ser>
          <c:idx val="1"/>
          <c:order val="1"/>
          <c:tx>
            <c:strRef>
              <c:f>'9.NAR '!$H$25</c:f>
              <c:strCache>
                <c:ptCount val="1"/>
                <c:pt idx="0">
                  <c:v>Actual</c:v>
                </c:pt>
              </c:strCache>
            </c:strRef>
          </c:tx>
          <c:spPr>
            <a:ln w="15875" cap="rnd">
              <a:solidFill>
                <a:srgbClr val="FF0000"/>
              </a:solidFill>
              <a:round/>
            </a:ln>
            <a:effectLst/>
          </c:spPr>
          <c:marker>
            <c:symbol val="circle"/>
            <c:size val="5"/>
            <c:spPr>
              <a:solidFill>
                <a:srgbClr val="FF0000"/>
              </a:solidFill>
              <a:ln w="9525">
                <a:solidFill>
                  <a:srgbClr val="FF0000"/>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'!$I$25:$T$25</c:f>
              <c:numCache>
                <c:formatCode>0%</c:formatCode>
                <c:ptCount val="12"/>
                <c:pt idx="0">
                  <c:v>0.34</c:v>
                </c:pt>
                <c:pt idx="1">
                  <c:v>0.35399999999999998</c:v>
                </c:pt>
                <c:pt idx="2">
                  <c:v>0.40200000000000002</c:v>
                </c:pt>
                <c:pt idx="3">
                  <c:v>0.56299999999999994</c:v>
                </c:pt>
                <c:pt idx="4">
                  <c:v>0.59</c:v>
                </c:pt>
                <c:pt idx="5">
                  <c:v>0.49399999999999999</c:v>
                </c:pt>
                <c:pt idx="6" formatCode="General">
                  <c:v>58.4</c:v>
                </c:pt>
              </c:numCache>
            </c:numRef>
          </c:val>
          <c:smooth val="0"/>
          <c:extLst>
            <c:ext xmlns:c16="http://schemas.microsoft.com/office/drawing/2014/chart" uri="{C3380CC4-5D6E-409C-BE32-E72D297353CC}">
              <c16:uniqueId val="{00000001-1D21-4D9B-9314-A035D39476F8}"/>
            </c:ext>
          </c:extLst>
        </c:ser>
        <c:ser>
          <c:idx val="2"/>
          <c:order val="2"/>
          <c:tx>
            <c:v>g</c:v>
          </c:tx>
          <c:spPr>
            <a:ln w="15875" cap="rnd">
              <a:solidFill>
                <a:schemeClr val="accent6"/>
              </a:solidFill>
              <a:round/>
            </a:ln>
            <a:effectLst/>
          </c:spPr>
          <c:marker>
            <c:symbol val="circle"/>
            <c:size val="5"/>
            <c:spPr>
              <a:solidFill>
                <a:schemeClr val="accent6"/>
              </a:solidFill>
              <a:ln w="9525">
                <a:solidFill>
                  <a:schemeClr val="accent6"/>
                </a:solidFill>
              </a:ln>
              <a:effectLst/>
            </c:spPr>
          </c:marker>
          <c:val>
            <c:numRef>
              <c:f>'9.NAR '!$X$11:$AI$11</c:f>
              <c:numCache>
                <c:formatCode>General</c:formatCode>
                <c:ptCount val="12"/>
                <c:pt idx="0">
                  <c:v>0.34</c:v>
                </c:pt>
                <c:pt idx="1">
                  <c:v>0.35399999999999998</c:v>
                </c:pt>
                <c:pt idx="2">
                  <c:v>0.40200000000000002</c:v>
                </c:pt>
                <c:pt idx="3">
                  <c:v>0.56299999999999994</c:v>
                </c:pt>
                <c:pt idx="4">
                  <c:v>0.59</c:v>
                </c:pt>
                <c:pt idx="5">
                  <c:v>0.49399999999999999</c:v>
                </c:pt>
                <c:pt idx="6">
                  <c:v>58.4</c:v>
                </c:pt>
                <c:pt idx="7">
                  <c:v>#N/A</c:v>
                </c:pt>
                <c:pt idx="8">
                  <c:v>#N/A</c:v>
                </c:pt>
                <c:pt idx="9">
                  <c:v>#N/A</c:v>
                </c:pt>
                <c:pt idx="10">
                  <c:v>#N/A</c:v>
                </c:pt>
                <c:pt idx="11">
                  <c:v>#N/A</c:v>
                </c:pt>
              </c:numCache>
            </c:numRef>
          </c:val>
          <c:smooth val="0"/>
          <c:extLst>
            <c:ext xmlns:c16="http://schemas.microsoft.com/office/drawing/2014/chart" uri="{C3380CC4-5D6E-409C-BE32-E72D297353CC}">
              <c16:uniqueId val="{00000002-1D21-4D9B-9314-A035D39476F8}"/>
            </c:ext>
          </c:extLst>
        </c:ser>
        <c:ser>
          <c:idx val="3"/>
          <c:order val="3"/>
          <c:tx>
            <c:v>L</c:v>
          </c:tx>
          <c:spPr>
            <a:ln w="15875" cap="rnd">
              <a:solidFill>
                <a:srgbClr val="FF0000"/>
              </a:solidFill>
              <a:round/>
            </a:ln>
            <a:effectLst/>
          </c:spPr>
          <c:marker>
            <c:symbol val="circle"/>
            <c:size val="5"/>
            <c:spPr>
              <a:solidFill>
                <a:srgbClr val="FF0000"/>
              </a:solidFill>
              <a:ln w="9525">
                <a:solidFill>
                  <a:srgbClr val="FF0000"/>
                </a:solidFill>
              </a:ln>
              <a:effectLst/>
            </c:spPr>
          </c:marker>
          <c:val>
            <c:numRef>
              <c:f>'9.NAR '!$X$12:$AI$12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1D21-4D9B-9314-A035D39476F8}"/>
            </c:ext>
          </c:extLst>
        </c:ser>
        <c:dLbls>
          <c:showLegendKey val="0"/>
          <c:showVal val="0"/>
          <c:showCatName val="0"/>
          <c:showSerName val="0"/>
          <c:showPercent val="0"/>
          <c:showBubbleSize val="0"/>
        </c:dLbls>
        <c:marker val="1"/>
        <c:smooth val="0"/>
        <c:axId val="641874784"/>
        <c:axId val="641896864"/>
      </c:lineChart>
      <c:dateAx>
        <c:axId val="641874784"/>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896864"/>
        <c:crosses val="autoZero"/>
        <c:auto val="1"/>
        <c:lblOffset val="100"/>
        <c:baseTimeUnit val="months"/>
      </c:dateAx>
      <c:valAx>
        <c:axId val="641896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874784"/>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'10.EUROPE '!$H$14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'!$I$14:$T$14</c:f>
              <c:numCache>
                <c:formatCode>General</c:formatCode>
                <c:ptCount val="12"/>
                <c:pt idx="0">
                  <c:v>9</c:v>
                </c:pt>
                <c:pt idx="1">
                  <c:v>4.8000000000000007</c:v>
                </c:pt>
                <c:pt idx="2">
                  <c:v>11.7</c:v>
                </c:pt>
                <c:pt idx="3">
                  <c:v>9.3000000000000007</c:v>
                </c:pt>
                <c:pt idx="4">
                  <c:v>6.3000000000000007</c:v>
                </c:pt>
                <c:pt idx="5">
                  <c:v>13.200000000000001</c:v>
                </c:pt>
                <c:pt idx="6">
                  <c:v>8.6999999999999993</c:v>
                </c:pt>
                <c:pt idx="7">
                  <c:v>9</c:v>
                </c:pt>
                <c:pt idx="8">
                  <c:v>13.5</c:v>
                </c:pt>
                <c:pt idx="9">
                  <c:v>11.399999999999999</c:v>
                </c:pt>
                <c:pt idx="10">
                  <c:v>14.100000000000001</c:v>
                </c:pt>
                <c:pt idx="11">
                  <c:v>21.299999999999997</c:v>
                </c:pt>
              </c:numCache>
            </c:numRef>
          </c:val>
          <c:smooth val="0"/>
          <c:extLst>
            <c:ext xmlns:c16="http://schemas.microsoft.com/office/drawing/2014/chart" uri="{C3380CC4-5D6E-409C-BE32-E72D297353CC}">
              <c16:uniqueId val="{00000000-19D1-4868-A8AB-54AAAE6D927C}"/>
            </c:ext>
          </c:extLst>
        </c:ser>
        <c:ser>
          <c:idx val="1"/>
          <c:order val="1"/>
          <c:tx>
            <c:strRef>
              <c:f>'10.EUROPE '!$H$15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'!$I$15:$T$15</c:f>
              <c:numCache>
                <c:formatCode>General</c:formatCode>
                <c:ptCount val="12"/>
                <c:pt idx="0">
                  <c:v>4.5999999999999996</c:v>
                </c:pt>
                <c:pt idx="1">
                  <c:v>8.1</c:v>
                </c:pt>
                <c:pt idx="2">
                  <c:v>12.7</c:v>
                </c:pt>
                <c:pt idx="3">
                  <c:v>7.2</c:v>
                </c:pt>
                <c:pt idx="4">
                  <c:v>3.5</c:v>
                </c:pt>
                <c:pt idx="5">
                  <c:v>12</c:v>
                </c:pt>
                <c:pt idx="6">
                  <c:v>9</c:v>
                </c:pt>
                <c:pt idx="7">
                  <c:v>6</c:v>
                </c:pt>
                <c:pt idx="8">
                  <c:v>9.1999999999999993</c:v>
                </c:pt>
              </c:numCache>
            </c:numRef>
          </c:val>
          <c:smooth val="0"/>
          <c:extLst>
            <c:ext xmlns:c16="http://schemas.microsoft.com/office/drawing/2014/chart" uri="{C3380CC4-5D6E-409C-BE32-E72D297353CC}">
              <c16:uniqueId val="{00000001-19D1-4868-A8AB-54AAAE6D927C}"/>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'10.EUROPE '!$X$1:$AI$1</c:f>
              <c:numCache>
                <c:formatCode>General</c:formatCode>
                <c:ptCount val="12"/>
                <c:pt idx="0">
                  <c:v>#N/A</c:v>
                </c:pt>
                <c:pt idx="1">
                  <c:v>8.1</c:v>
                </c:pt>
                <c:pt idx="2">
                  <c:v>12.7</c:v>
                </c:pt>
                <c:pt idx="3">
                  <c:v>#N/A</c:v>
                </c:pt>
                <c:pt idx="4">
                  <c:v>#N/A</c:v>
                </c:pt>
                <c:pt idx="5">
                  <c:v>#N/A</c:v>
                </c:pt>
                <c:pt idx="6">
                  <c:v>9</c:v>
                </c:pt>
                <c:pt idx="7">
                  <c:v>#N/A</c:v>
                </c:pt>
                <c:pt idx="8">
                  <c:v>#N/A</c:v>
                </c:pt>
                <c:pt idx="9">
                  <c:v>#N/A</c:v>
                </c:pt>
                <c:pt idx="10">
                  <c:v>#N/A</c:v>
                </c:pt>
                <c:pt idx="11">
                  <c:v>#N/A</c:v>
                </c:pt>
              </c:numCache>
            </c:numRef>
          </c:val>
          <c:smooth val="0"/>
          <c:extLst>
            <c:ext xmlns:c16="http://schemas.microsoft.com/office/drawing/2014/chart" uri="{C3380CC4-5D6E-409C-BE32-E72D297353CC}">
              <c16:uniqueId val="{00000002-19D1-4868-A8AB-54AAAE6D927C}"/>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'10.EUROPE '!$X$2:$AI$2</c:f>
              <c:numCache>
                <c:formatCode>General</c:formatCode>
                <c:ptCount val="12"/>
                <c:pt idx="0">
                  <c:v>4.5999999999999996</c:v>
                </c:pt>
                <c:pt idx="1">
                  <c:v>#N/A</c:v>
                </c:pt>
                <c:pt idx="2">
                  <c:v>#N/A</c:v>
                </c:pt>
                <c:pt idx="3">
                  <c:v>7.2</c:v>
                </c:pt>
                <c:pt idx="4">
                  <c:v>3.5</c:v>
                </c:pt>
                <c:pt idx="5">
                  <c:v>12</c:v>
                </c:pt>
                <c:pt idx="6">
                  <c:v>#N/A</c:v>
                </c:pt>
                <c:pt idx="7">
                  <c:v>6</c:v>
                </c:pt>
                <c:pt idx="8">
                  <c:v>9.1999999999999993</c:v>
                </c:pt>
                <c:pt idx="9">
                  <c:v>#N/A</c:v>
                </c:pt>
                <c:pt idx="10">
                  <c:v>#N/A</c:v>
                </c:pt>
                <c:pt idx="11">
                  <c:v>#N/A</c:v>
                </c:pt>
              </c:numCache>
            </c:numRef>
          </c:val>
          <c:smooth val="0"/>
          <c:extLst>
            <c:ext xmlns:c16="http://schemas.microsoft.com/office/drawing/2014/chart" uri="{C3380CC4-5D6E-409C-BE32-E72D297353CC}">
              <c16:uniqueId val="{00000003-19D1-4868-A8AB-54AAAE6D927C}"/>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'10.EUROPE '!$H$16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'!$I$16:$T$16</c:f>
              <c:numCache>
                <c:formatCode>0%</c:formatCode>
                <c:ptCount val="12"/>
                <c:pt idx="0">
                  <c:v>0.52</c:v>
                </c:pt>
                <c:pt idx="1">
                  <c:v>0.5</c:v>
                </c:pt>
                <c:pt idx="2">
                  <c:v>0.51</c:v>
                </c:pt>
                <c:pt idx="3">
                  <c:v>0.51</c:v>
                </c:pt>
                <c:pt idx="4">
                  <c:v>0.52</c:v>
                </c:pt>
                <c:pt idx="5">
                  <c:v>0.54</c:v>
                </c:pt>
                <c:pt idx="6">
                  <c:v>0.54</c:v>
                </c:pt>
                <c:pt idx="7">
                  <c:v>0.55000000000000004</c:v>
                </c:pt>
                <c:pt idx="8">
                  <c:v>0.56999999999999995</c:v>
                </c:pt>
                <c:pt idx="9">
                  <c:v>0.56999999999999995</c:v>
                </c:pt>
                <c:pt idx="10">
                  <c:v>0.57999999999999996</c:v>
                </c:pt>
                <c:pt idx="11">
                  <c:v>0.6</c:v>
                </c:pt>
              </c:numCache>
            </c:numRef>
          </c:val>
          <c:smooth val="0"/>
          <c:extLst>
            <c:ext xmlns:c16="http://schemas.microsoft.com/office/drawing/2014/chart" uri="{C3380CC4-5D6E-409C-BE32-E72D297353CC}">
              <c16:uniqueId val="{00000000-BB5F-46F8-BDAD-9510664A787F}"/>
            </c:ext>
          </c:extLst>
        </c:ser>
        <c:ser>
          <c:idx val="1"/>
          <c:order val="1"/>
          <c:tx>
            <c:strRef>
              <c:f>'10.EUROPE '!$H$17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'!$I$17:$T$17</c:f>
              <c:numCache>
                <c:formatCode>0%</c:formatCode>
                <c:ptCount val="12"/>
                <c:pt idx="0">
                  <c:v>0.52</c:v>
                </c:pt>
                <c:pt idx="1">
                  <c:v>0.5</c:v>
                </c:pt>
                <c:pt idx="2">
                  <c:v>0.51</c:v>
                </c:pt>
                <c:pt idx="3">
                  <c:v>0.504</c:v>
                </c:pt>
                <c:pt idx="4">
                  <c:v>0.50600000000000001</c:v>
                </c:pt>
                <c:pt idx="5">
                  <c:v>0.53</c:v>
                </c:pt>
                <c:pt idx="6">
                  <c:v>0.54</c:v>
                </c:pt>
              </c:numCache>
            </c:numRef>
          </c:val>
          <c:smooth val="0"/>
          <c:extLst>
            <c:ext xmlns:c16="http://schemas.microsoft.com/office/drawing/2014/chart" uri="{C3380CC4-5D6E-409C-BE32-E72D297353CC}">
              <c16:uniqueId val="{00000001-BB5F-46F8-BDAD-9510664A787F}"/>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'10.EUROPE '!$X$3:$AI$3</c:f>
              <c:numCache>
                <c:formatCode>General</c:formatCode>
                <c:ptCount val="12"/>
                <c:pt idx="0">
                  <c:v>0.52</c:v>
                </c:pt>
                <c:pt idx="1">
                  <c:v>0.5</c:v>
                </c:pt>
                <c:pt idx="2">
                  <c:v>0.51</c:v>
                </c:pt>
                <c:pt idx="3">
                  <c:v>#N/A</c:v>
                </c:pt>
                <c:pt idx="4">
                  <c:v>#N/A</c:v>
                </c:pt>
                <c:pt idx="5">
                  <c:v>#N/A</c:v>
                </c:pt>
                <c:pt idx="6">
                  <c:v>0.54</c:v>
                </c:pt>
                <c:pt idx="7">
                  <c:v>#N/A</c:v>
                </c:pt>
                <c:pt idx="8">
                  <c:v>#N/A</c:v>
                </c:pt>
                <c:pt idx="9">
                  <c:v>#N/A</c:v>
                </c:pt>
                <c:pt idx="10">
                  <c:v>#N/A</c:v>
                </c:pt>
                <c:pt idx="11">
                  <c:v>#N/A</c:v>
                </c:pt>
              </c:numCache>
            </c:numRef>
          </c:val>
          <c:smooth val="0"/>
          <c:extLst>
            <c:ext xmlns:c16="http://schemas.microsoft.com/office/drawing/2014/chart" uri="{C3380CC4-5D6E-409C-BE32-E72D297353CC}">
              <c16:uniqueId val="{00000002-BB5F-46F8-BDAD-9510664A787F}"/>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'10.EUROPE '!$X$4:$AI$4</c:f>
              <c:numCache>
                <c:formatCode>General</c:formatCode>
                <c:ptCount val="12"/>
                <c:pt idx="0">
                  <c:v>#N/A</c:v>
                </c:pt>
                <c:pt idx="1">
                  <c:v>#N/A</c:v>
                </c:pt>
                <c:pt idx="2">
                  <c:v>#N/A</c:v>
                </c:pt>
                <c:pt idx="3">
                  <c:v>0.504</c:v>
                </c:pt>
                <c:pt idx="4">
                  <c:v>0.50600000000000001</c:v>
                </c:pt>
                <c:pt idx="5">
                  <c:v>0.53</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B5F-46F8-BDAD-9510664A787F}"/>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'10.EUROPE '!$H$18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'!$I$18:$T$18</c:f>
              <c:numCache>
                <c:formatCode>0%</c:formatCode>
                <c:ptCount val="12"/>
                <c:pt idx="0">
                  <c:v>0.6</c:v>
                </c:pt>
                <c:pt idx="1">
                  <c:v>0.8</c:v>
                </c:pt>
                <c:pt idx="2">
                  <c:v>1</c:v>
                </c:pt>
                <c:pt idx="3">
                  <c:v>0.6</c:v>
                </c:pt>
                <c:pt idx="4">
                  <c:v>0.8</c:v>
                </c:pt>
                <c:pt idx="5">
                  <c:v>1</c:v>
                </c:pt>
                <c:pt idx="6">
                  <c:v>0.6</c:v>
                </c:pt>
                <c:pt idx="7">
                  <c:v>0.8</c:v>
                </c:pt>
                <c:pt idx="8">
                  <c:v>1</c:v>
                </c:pt>
                <c:pt idx="9">
                  <c:v>0.6</c:v>
                </c:pt>
                <c:pt idx="10">
                  <c:v>0.8</c:v>
                </c:pt>
                <c:pt idx="11">
                  <c:v>1</c:v>
                </c:pt>
              </c:numCache>
            </c:numRef>
          </c:val>
          <c:smooth val="0"/>
          <c:extLst>
            <c:ext xmlns:c16="http://schemas.microsoft.com/office/drawing/2014/chart" uri="{C3380CC4-5D6E-409C-BE32-E72D297353CC}">
              <c16:uniqueId val="{00000000-DCB8-44E5-9A40-582637990445}"/>
            </c:ext>
          </c:extLst>
        </c:ser>
        <c:ser>
          <c:idx val="1"/>
          <c:order val="1"/>
          <c:tx>
            <c:strRef>
              <c:f>'10.EUROPE '!$H$19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'!$I$19:$T$19</c:f>
              <c:numCache>
                <c:formatCode>0%</c:formatCode>
                <c:ptCount val="12"/>
                <c:pt idx="0">
                  <c:v>0.6</c:v>
                </c:pt>
                <c:pt idx="1">
                  <c:v>0.81</c:v>
                </c:pt>
                <c:pt idx="2">
                  <c:v>1.05</c:v>
                </c:pt>
                <c:pt idx="3">
                  <c:v>0.37</c:v>
                </c:pt>
                <c:pt idx="4">
                  <c:v>0.42</c:v>
                </c:pt>
                <c:pt idx="5">
                  <c:v>0.7</c:v>
                </c:pt>
                <c:pt idx="6">
                  <c:v>0.6</c:v>
                </c:pt>
                <c:pt idx="7">
                  <c:v>0.63</c:v>
                </c:pt>
                <c:pt idx="8">
                  <c:v>0.67</c:v>
                </c:pt>
              </c:numCache>
            </c:numRef>
          </c:val>
          <c:smooth val="0"/>
          <c:extLst>
            <c:ext xmlns:c16="http://schemas.microsoft.com/office/drawing/2014/chart" uri="{C3380CC4-5D6E-409C-BE32-E72D297353CC}">
              <c16:uniqueId val="{00000001-DCB8-44E5-9A40-582637990445}"/>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'10.EUROPE '!$X$5:$AI$5</c:f>
              <c:numCache>
                <c:formatCode>General</c:formatCode>
                <c:ptCount val="12"/>
                <c:pt idx="0">
                  <c:v>0.6</c:v>
                </c:pt>
                <c:pt idx="1">
                  <c:v>0.81</c:v>
                </c:pt>
                <c:pt idx="2">
                  <c:v>1.05</c:v>
                </c:pt>
                <c:pt idx="3">
                  <c:v>#N/A</c:v>
                </c:pt>
                <c:pt idx="4">
                  <c:v>#N/A</c:v>
                </c:pt>
                <c:pt idx="5">
                  <c:v>#N/A</c:v>
                </c:pt>
                <c:pt idx="6">
                  <c:v>0.6</c:v>
                </c:pt>
                <c:pt idx="7">
                  <c:v>#N/A</c:v>
                </c:pt>
                <c:pt idx="8">
                  <c:v>#N/A</c:v>
                </c:pt>
                <c:pt idx="9">
                  <c:v>#N/A</c:v>
                </c:pt>
                <c:pt idx="10">
                  <c:v>#N/A</c:v>
                </c:pt>
                <c:pt idx="11">
                  <c:v>#N/A</c:v>
                </c:pt>
              </c:numCache>
            </c:numRef>
          </c:val>
          <c:smooth val="0"/>
          <c:extLst>
            <c:ext xmlns:c16="http://schemas.microsoft.com/office/drawing/2014/chart" uri="{C3380CC4-5D6E-409C-BE32-E72D297353CC}">
              <c16:uniqueId val="{00000002-DCB8-44E5-9A40-582637990445}"/>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'10.EUROPE '!$X$6:$AI$6</c:f>
              <c:numCache>
                <c:formatCode>General</c:formatCode>
                <c:ptCount val="12"/>
                <c:pt idx="0">
                  <c:v>#N/A</c:v>
                </c:pt>
                <c:pt idx="1">
                  <c:v>#N/A</c:v>
                </c:pt>
                <c:pt idx="2">
                  <c:v>#N/A</c:v>
                </c:pt>
                <c:pt idx="3">
                  <c:v>0.37</c:v>
                </c:pt>
                <c:pt idx="4">
                  <c:v>0.42</c:v>
                </c:pt>
                <c:pt idx="5">
                  <c:v>0.7</c:v>
                </c:pt>
                <c:pt idx="6">
                  <c:v>#N/A</c:v>
                </c:pt>
                <c:pt idx="7">
                  <c:v>0.63</c:v>
                </c:pt>
                <c:pt idx="8">
                  <c:v>0.67</c:v>
                </c:pt>
                <c:pt idx="9">
                  <c:v>#N/A</c:v>
                </c:pt>
                <c:pt idx="10">
                  <c:v>#N/A</c:v>
                </c:pt>
                <c:pt idx="11">
                  <c:v>#N/A</c:v>
                </c:pt>
              </c:numCache>
            </c:numRef>
          </c:val>
          <c:smooth val="0"/>
          <c:extLst>
            <c:ext xmlns:c16="http://schemas.microsoft.com/office/drawing/2014/chart" uri="{C3380CC4-5D6E-409C-BE32-E72D297353CC}">
              <c16:uniqueId val="{00000003-DCB8-44E5-9A40-582637990445}"/>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'10.EUROPE '!$H$20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'!$I$20:$T$20</c:f>
              <c:numCache>
                <c:formatCode>0%</c:formatCode>
                <c:ptCount val="12"/>
                <c:pt idx="0">
                  <c:v>0.31</c:v>
                </c:pt>
                <c:pt idx="1">
                  <c:v>0.31</c:v>
                </c:pt>
                <c:pt idx="2">
                  <c:v>0.31</c:v>
                </c:pt>
                <c:pt idx="3">
                  <c:v>0.31</c:v>
                </c:pt>
                <c:pt idx="4">
                  <c:v>0.31</c:v>
                </c:pt>
                <c:pt idx="5">
                  <c:v>0.31</c:v>
                </c:pt>
                <c:pt idx="6">
                  <c:v>0.31</c:v>
                </c:pt>
                <c:pt idx="7">
                  <c:v>0.31</c:v>
                </c:pt>
                <c:pt idx="8">
                  <c:v>0.31</c:v>
                </c:pt>
                <c:pt idx="9">
                  <c:v>0.31</c:v>
                </c:pt>
                <c:pt idx="10">
                  <c:v>0.31</c:v>
                </c:pt>
                <c:pt idx="11">
                  <c:v>0.31</c:v>
                </c:pt>
              </c:numCache>
            </c:numRef>
          </c:val>
          <c:smooth val="0"/>
          <c:extLst>
            <c:ext xmlns:c16="http://schemas.microsoft.com/office/drawing/2014/chart" uri="{C3380CC4-5D6E-409C-BE32-E72D297353CC}">
              <c16:uniqueId val="{00000000-1ED0-4DA7-AEF1-40BC80488F35}"/>
            </c:ext>
          </c:extLst>
        </c:ser>
        <c:ser>
          <c:idx val="1"/>
          <c:order val="1"/>
          <c:tx>
            <c:strRef>
              <c:f>'10.EUROPE '!$H$21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'!$I$21:$T$21</c:f>
              <c:numCache>
                <c:formatCode>0%</c:formatCode>
                <c:ptCount val="12"/>
                <c:pt idx="0">
                  <c:v>0.25</c:v>
                </c:pt>
                <c:pt idx="1">
                  <c:v>0.42</c:v>
                </c:pt>
                <c:pt idx="2">
                  <c:v>0.47</c:v>
                </c:pt>
                <c:pt idx="3">
                  <c:v>0.38900000000000001</c:v>
                </c:pt>
                <c:pt idx="4">
                  <c:v>0.154</c:v>
                </c:pt>
                <c:pt idx="5">
                  <c:v>0.45700000000000002</c:v>
                </c:pt>
                <c:pt idx="6">
                  <c:v>0.16</c:v>
                </c:pt>
                <c:pt idx="7">
                  <c:v>0.22600000000000001</c:v>
                </c:pt>
              </c:numCache>
            </c:numRef>
          </c:val>
          <c:smooth val="0"/>
          <c:extLst>
            <c:ext xmlns:c16="http://schemas.microsoft.com/office/drawing/2014/chart" uri="{C3380CC4-5D6E-409C-BE32-E72D297353CC}">
              <c16:uniqueId val="{00000001-1ED0-4DA7-AEF1-40BC80488F35}"/>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'10.EUROPE '!$X$7:$AI$7</c:f>
              <c:numCache>
                <c:formatCode>General</c:formatCode>
                <c:ptCount val="12"/>
                <c:pt idx="0">
                  <c:v>#N/A</c:v>
                </c:pt>
                <c:pt idx="1">
                  <c:v>0.42</c:v>
                </c:pt>
                <c:pt idx="2">
                  <c:v>0.47</c:v>
                </c:pt>
                <c:pt idx="3">
                  <c:v>0.38900000000000001</c:v>
                </c:pt>
                <c:pt idx="4">
                  <c:v>#N/A</c:v>
                </c:pt>
                <c:pt idx="5">
                  <c:v>0.45700000000000002</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1ED0-4DA7-AEF1-40BC80488F35}"/>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'10.EUROPE '!$X$8:$AI$8</c:f>
              <c:numCache>
                <c:formatCode>General</c:formatCode>
                <c:ptCount val="12"/>
                <c:pt idx="0">
                  <c:v>0.25</c:v>
                </c:pt>
                <c:pt idx="1">
                  <c:v>#N/A</c:v>
                </c:pt>
                <c:pt idx="2">
                  <c:v>#N/A</c:v>
                </c:pt>
                <c:pt idx="3">
                  <c:v>#N/A</c:v>
                </c:pt>
                <c:pt idx="4">
                  <c:v>0.154</c:v>
                </c:pt>
                <c:pt idx="5">
                  <c:v>#N/A</c:v>
                </c:pt>
                <c:pt idx="6">
                  <c:v>0.16</c:v>
                </c:pt>
                <c:pt idx="7">
                  <c:v>0.22600000000000001</c:v>
                </c:pt>
                <c:pt idx="8">
                  <c:v>#N/A</c:v>
                </c:pt>
                <c:pt idx="9">
                  <c:v>#N/A</c:v>
                </c:pt>
                <c:pt idx="10">
                  <c:v>#N/A</c:v>
                </c:pt>
                <c:pt idx="11">
                  <c:v>#N/A</c:v>
                </c:pt>
              </c:numCache>
            </c:numRef>
          </c:val>
          <c:smooth val="0"/>
          <c:extLst>
            <c:ext xmlns:c16="http://schemas.microsoft.com/office/drawing/2014/chart" uri="{C3380CC4-5D6E-409C-BE32-E72D297353CC}">
              <c16:uniqueId val="{00000003-1ED0-4DA7-AEF1-40BC80488F35}"/>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'10.EUROPE '!$H$22</c:f>
              <c:strCache>
                <c:ptCount val="1"/>
                <c:pt idx="0">
                  <c:v>Target</c:v>
                </c:pt>
              </c:strCache>
            </c:strRef>
          </c:tx>
          <c:spPr>
            <a:ln w="15875" cap="rnd">
              <a:solidFill>
                <a:schemeClr val="accent1">
                  <a:alpha val="97000"/>
                </a:schemeClr>
              </a:solidFill>
              <a:round/>
            </a:ln>
            <a:effectLst/>
          </c:spPr>
          <c:marker>
            <c:symbol val="circle"/>
            <c:size val="3"/>
            <c:spPr>
              <a:solidFill>
                <a:schemeClr val="accent1"/>
              </a:solidFill>
              <a:ln w="9525">
                <a:solidFill>
                  <a:schemeClr val="accent1"/>
                </a:solid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'!$I$22:$T$22</c:f>
              <c:numCache>
                <c:formatCode>0%</c:formatCode>
                <c:ptCount val="12"/>
                <c:pt idx="0">
                  <c:v>0.28000000000000003</c:v>
                </c:pt>
                <c:pt idx="1">
                  <c:v>0.28000000000000003</c:v>
                </c:pt>
                <c:pt idx="2">
                  <c:v>0.28000000000000003</c:v>
                </c:pt>
                <c:pt idx="3">
                  <c:v>0.35</c:v>
                </c:pt>
                <c:pt idx="4">
                  <c:v>0.35</c:v>
                </c:pt>
                <c:pt idx="5">
                  <c:v>0.35</c:v>
                </c:pt>
                <c:pt idx="6">
                  <c:v>0.4</c:v>
                </c:pt>
                <c:pt idx="7">
                  <c:v>0.4</c:v>
                </c:pt>
                <c:pt idx="8">
                  <c:v>0.4</c:v>
                </c:pt>
                <c:pt idx="9">
                  <c:v>0.45</c:v>
                </c:pt>
                <c:pt idx="10">
                  <c:v>0.45</c:v>
                </c:pt>
                <c:pt idx="11">
                  <c:v>0.45</c:v>
                </c:pt>
              </c:numCache>
            </c:numRef>
          </c:val>
          <c:smooth val="0"/>
          <c:extLst>
            <c:ext xmlns:c16="http://schemas.microsoft.com/office/drawing/2014/chart" uri="{C3380CC4-5D6E-409C-BE32-E72D297353CC}">
              <c16:uniqueId val="{00000000-9896-4F62-8B6A-A745F2440F25}"/>
            </c:ext>
          </c:extLst>
        </c:ser>
        <c:ser>
          <c:idx val="1"/>
          <c:order val="1"/>
          <c:tx>
            <c:strRef>
              <c:f>'10.EUROPE '!$H$23</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'!$I$23:$T$23</c:f>
              <c:numCache>
                <c:formatCode>0%</c:formatCode>
                <c:ptCount val="12"/>
                <c:pt idx="0">
                  <c:v>0.4</c:v>
                </c:pt>
                <c:pt idx="1">
                  <c:v>0.58799999999999997</c:v>
                </c:pt>
                <c:pt idx="2">
                  <c:v>0.6</c:v>
                </c:pt>
                <c:pt idx="3" formatCode="0.00%">
                  <c:v>0.58299999999999996</c:v>
                </c:pt>
                <c:pt idx="4" formatCode="0.00%">
                  <c:v>0.66700000000000004</c:v>
                </c:pt>
                <c:pt idx="5" formatCode="0.00%">
                  <c:v>0.33300000000000002</c:v>
                </c:pt>
                <c:pt idx="6" formatCode="0.00%">
                  <c:v>0.28599999999999998</c:v>
                </c:pt>
              </c:numCache>
            </c:numRef>
          </c:val>
          <c:smooth val="0"/>
          <c:extLst>
            <c:ext xmlns:c16="http://schemas.microsoft.com/office/drawing/2014/chart" uri="{C3380CC4-5D6E-409C-BE32-E72D297353CC}">
              <c16:uniqueId val="{00000001-9896-4F62-8B6A-A745F2440F25}"/>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'10.EUROPE '!$X$9:$AI$9</c:f>
              <c:numCache>
                <c:formatCode>General</c:formatCode>
                <c:ptCount val="12"/>
                <c:pt idx="0">
                  <c:v>0.4</c:v>
                </c:pt>
                <c:pt idx="1">
                  <c:v>0.58799999999999997</c:v>
                </c:pt>
                <c:pt idx="2">
                  <c:v>0.6</c:v>
                </c:pt>
                <c:pt idx="3">
                  <c:v>0.58299999999999996</c:v>
                </c:pt>
                <c:pt idx="4">
                  <c:v>0.66700000000000004</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9896-4F62-8B6A-A745F2440F25}"/>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'10.EUROPE '!$X$10:$AI$10</c:f>
              <c:numCache>
                <c:formatCode>General</c:formatCode>
                <c:ptCount val="12"/>
                <c:pt idx="0">
                  <c:v>#N/A</c:v>
                </c:pt>
                <c:pt idx="1">
                  <c:v>#N/A</c:v>
                </c:pt>
                <c:pt idx="2">
                  <c:v>#N/A</c:v>
                </c:pt>
                <c:pt idx="3">
                  <c:v>#N/A</c:v>
                </c:pt>
                <c:pt idx="4">
                  <c:v>#N/A</c:v>
                </c:pt>
                <c:pt idx="5">
                  <c:v>0.33300000000000002</c:v>
                </c:pt>
                <c:pt idx="6">
                  <c:v>0.28599999999999998</c:v>
                </c:pt>
                <c:pt idx="7">
                  <c:v>#N/A</c:v>
                </c:pt>
                <c:pt idx="8">
                  <c:v>#N/A</c:v>
                </c:pt>
                <c:pt idx="9">
                  <c:v>#N/A</c:v>
                </c:pt>
                <c:pt idx="10">
                  <c:v>#N/A</c:v>
                </c:pt>
                <c:pt idx="11">
                  <c:v>#N/A</c:v>
                </c:pt>
              </c:numCache>
            </c:numRef>
          </c:val>
          <c:smooth val="0"/>
          <c:extLst>
            <c:ext xmlns:c16="http://schemas.microsoft.com/office/drawing/2014/chart" uri="{C3380CC4-5D6E-409C-BE32-E72D297353CC}">
              <c16:uniqueId val="{00000003-9896-4F62-8B6A-A745F2440F25}"/>
            </c:ext>
          </c:extLst>
        </c:ser>
        <c:dLbls>
          <c:showLegendKey val="0"/>
          <c:showVal val="0"/>
          <c:showCatName val="0"/>
          <c:showSerName val="0"/>
          <c:showPercent val="0"/>
          <c:showBubbleSize val="0"/>
        </c:dLbls>
        <c:marker val="1"/>
        <c:smooth val="0"/>
        <c:axId val="180688111"/>
        <c:axId val="180691471"/>
      </c:lineChart>
      <c:dateAx>
        <c:axId val="180688111"/>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91471"/>
        <c:crosses val="autoZero"/>
        <c:auto val="1"/>
        <c:lblOffset val="100"/>
        <c:baseTimeUnit val="months"/>
      </c:dateAx>
      <c:valAx>
        <c:axId val="180691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11"/>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'10.EUROPE '!$H$24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'!$I$24:$T$24</c:f>
              <c:numCache>
                <c:formatCode>0.00%</c:formatCode>
                <c:ptCount val="12"/>
                <c:pt idx="0">
                  <c:v>0.35199999999999998</c:v>
                </c:pt>
                <c:pt idx="1">
                  <c:v>0.32100000000000001</c:v>
                </c:pt>
                <c:pt idx="2">
                  <c:v>0.34200000000000003</c:v>
                </c:pt>
                <c:pt idx="3">
                  <c:v>0.36299999999999999</c:v>
                </c:pt>
                <c:pt idx="4">
                  <c:v>0.35199999999999998</c:v>
                </c:pt>
                <c:pt idx="5">
                  <c:v>0.35499999999999998</c:v>
                </c:pt>
                <c:pt idx="6">
                  <c:v>0.35699999999999998</c:v>
                </c:pt>
                <c:pt idx="7">
                  <c:v>0.36299999999999999</c:v>
                </c:pt>
                <c:pt idx="8">
                  <c:v>0.33700000000000002</c:v>
                </c:pt>
                <c:pt idx="9">
                  <c:v>0.33800000000000002</c:v>
                </c:pt>
                <c:pt idx="10">
                  <c:v>0.35099999999999998</c:v>
                </c:pt>
                <c:pt idx="11">
                  <c:v>0.36199999999999999</c:v>
                </c:pt>
              </c:numCache>
            </c:numRef>
          </c:val>
          <c:smooth val="0"/>
          <c:extLst>
            <c:ext xmlns:c16="http://schemas.microsoft.com/office/drawing/2014/chart" uri="{C3380CC4-5D6E-409C-BE32-E72D297353CC}">
              <c16:uniqueId val="{00000000-F828-4383-97C0-7CA0F413B94D}"/>
            </c:ext>
          </c:extLst>
        </c:ser>
        <c:ser>
          <c:idx val="1"/>
          <c:order val="1"/>
          <c:tx>
            <c:strRef>
              <c:f>'10.EUROPE '!$H$25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'!$I$25:$T$25</c:f>
              <c:numCache>
                <c:formatCode>0.00%</c:formatCode>
                <c:ptCount val="12"/>
                <c:pt idx="0">
                  <c:v>0.29399999999999998</c:v>
                </c:pt>
                <c:pt idx="1">
                  <c:v>0.316</c:v>
                </c:pt>
                <c:pt idx="2">
                  <c:v>0.29299999999999998</c:v>
                </c:pt>
                <c:pt idx="3">
                  <c:v>0.436</c:v>
                </c:pt>
                <c:pt idx="4">
                  <c:v>0.42799999999999999</c:v>
                </c:pt>
                <c:pt idx="5">
                  <c:v>0.28499999999999998</c:v>
                </c:pt>
                <c:pt idx="6">
                  <c:v>0.434</c:v>
                </c:pt>
                <c:pt idx="7">
                  <c:v>0.32900000000000001</c:v>
                </c:pt>
              </c:numCache>
            </c:numRef>
          </c:val>
          <c:smooth val="0"/>
          <c:extLst>
            <c:ext xmlns:c16="http://schemas.microsoft.com/office/drawing/2014/chart" uri="{C3380CC4-5D6E-409C-BE32-E72D297353CC}">
              <c16:uniqueId val="{00000001-F828-4383-97C0-7CA0F413B94D}"/>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'10.EUROPE '!$X$11:$AI$11</c:f>
              <c:numCache>
                <c:formatCode>General</c:formatCode>
                <c:ptCount val="12"/>
                <c:pt idx="0">
                  <c:v>#N/A</c:v>
                </c:pt>
                <c:pt idx="1">
                  <c:v>#N/A</c:v>
                </c:pt>
                <c:pt idx="2">
                  <c:v>#N/A</c:v>
                </c:pt>
                <c:pt idx="3">
                  <c:v>0.436</c:v>
                </c:pt>
                <c:pt idx="4">
                  <c:v>0.42799999999999999</c:v>
                </c:pt>
                <c:pt idx="5">
                  <c:v>#N/A</c:v>
                </c:pt>
                <c:pt idx="6">
                  <c:v>0.434</c:v>
                </c:pt>
                <c:pt idx="7">
                  <c:v>#N/A</c:v>
                </c:pt>
                <c:pt idx="8">
                  <c:v>#N/A</c:v>
                </c:pt>
                <c:pt idx="9">
                  <c:v>#N/A</c:v>
                </c:pt>
                <c:pt idx="10">
                  <c:v>#N/A</c:v>
                </c:pt>
                <c:pt idx="11">
                  <c:v>#N/A</c:v>
                </c:pt>
              </c:numCache>
            </c:numRef>
          </c:val>
          <c:smooth val="0"/>
          <c:extLst>
            <c:ext xmlns:c16="http://schemas.microsoft.com/office/drawing/2014/chart" uri="{C3380CC4-5D6E-409C-BE32-E72D297353CC}">
              <c16:uniqueId val="{00000002-F828-4383-97C0-7CA0F413B94D}"/>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'10.EUROPE '!$X$12:$AI$12</c:f>
              <c:numCache>
                <c:formatCode>General</c:formatCode>
                <c:ptCount val="12"/>
                <c:pt idx="0">
                  <c:v>0.29399999999999998</c:v>
                </c:pt>
                <c:pt idx="1">
                  <c:v>0.316</c:v>
                </c:pt>
                <c:pt idx="2">
                  <c:v>0.29299999999999998</c:v>
                </c:pt>
                <c:pt idx="3">
                  <c:v>#N/A</c:v>
                </c:pt>
                <c:pt idx="4">
                  <c:v>#N/A</c:v>
                </c:pt>
                <c:pt idx="5">
                  <c:v>0.28499999999999998</c:v>
                </c:pt>
                <c:pt idx="6">
                  <c:v>#N/A</c:v>
                </c:pt>
                <c:pt idx="7">
                  <c:v>0.32900000000000001</c:v>
                </c:pt>
                <c:pt idx="8">
                  <c:v>#N/A</c:v>
                </c:pt>
                <c:pt idx="9">
                  <c:v>#N/A</c:v>
                </c:pt>
                <c:pt idx="10">
                  <c:v>#N/A</c:v>
                </c:pt>
                <c:pt idx="11">
                  <c:v>#N/A</c:v>
                </c:pt>
              </c:numCache>
            </c:numRef>
          </c:val>
          <c:smooth val="0"/>
          <c:extLst>
            <c:ext xmlns:c16="http://schemas.microsoft.com/office/drawing/2014/chart" uri="{C3380CC4-5D6E-409C-BE32-E72D297353CC}">
              <c16:uniqueId val="{00000003-F828-4383-97C0-7CA0F413B94D}"/>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'11.GROWTH '!$H$14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'!$I$14:$T$14</c:f>
              <c:numCache>
                <c:formatCode>0%</c:formatCode>
                <c:ptCount val="12"/>
                <c:pt idx="2">
                  <c:v>0.62</c:v>
                </c:pt>
                <c:pt idx="5">
                  <c:v>0.63</c:v>
                </c:pt>
                <c:pt idx="8">
                  <c:v>0.64</c:v>
                </c:pt>
                <c:pt idx="11">
                  <c:v>0.65</c:v>
                </c:pt>
              </c:numCache>
            </c:numRef>
          </c:val>
          <c:smooth val="0"/>
          <c:extLst>
            <c:ext xmlns:c16="http://schemas.microsoft.com/office/drawing/2014/chart" uri="{C3380CC4-5D6E-409C-BE32-E72D297353CC}">
              <c16:uniqueId val="{00000000-B349-4EF9-96DB-39D985DC5906}"/>
            </c:ext>
          </c:extLst>
        </c:ser>
        <c:ser>
          <c:idx val="1"/>
          <c:order val="1"/>
          <c:tx>
            <c:strRef>
              <c:f>'11.GROWTH '!$H$15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'!$I$15:$T$15</c:f>
              <c:numCache>
                <c:formatCode>0%</c:formatCode>
                <c:ptCount val="12"/>
              </c:numCache>
            </c:numRef>
          </c:val>
          <c:smooth val="0"/>
          <c:extLst>
            <c:ext xmlns:c16="http://schemas.microsoft.com/office/drawing/2014/chart" uri="{C3380CC4-5D6E-409C-BE32-E72D297353CC}">
              <c16:uniqueId val="{00000001-B349-4EF9-96DB-39D985DC5906}"/>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'11.GROWTH '!$X$1:$AI$1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B349-4EF9-96DB-39D985DC5906}"/>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'11.GROWTH '!$X$2:$AI$2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349-4EF9-96DB-39D985DC5906}"/>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'11.GROWTH '!$H$16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'!$I$16:$T$16</c:f>
              <c:numCache>
                <c:formatCode>0%</c:formatCode>
                <c:ptCount val="12"/>
                <c:pt idx="0">
                  <c:v>0.75</c:v>
                </c:pt>
                <c:pt idx="1">
                  <c:v>0.75</c:v>
                </c:pt>
                <c:pt idx="2">
                  <c:v>0.75</c:v>
                </c:pt>
                <c:pt idx="3">
                  <c:v>0.75</c:v>
                </c:pt>
                <c:pt idx="4">
                  <c:v>0.75</c:v>
                </c:pt>
                <c:pt idx="5">
                  <c:v>0.75</c:v>
                </c:pt>
                <c:pt idx="6">
                  <c:v>0.8</c:v>
                </c:pt>
                <c:pt idx="7">
                  <c:v>0.8</c:v>
                </c:pt>
                <c:pt idx="8">
                  <c:v>0.8</c:v>
                </c:pt>
                <c:pt idx="9">
                  <c:v>0.8</c:v>
                </c:pt>
                <c:pt idx="10">
                  <c:v>0.8</c:v>
                </c:pt>
                <c:pt idx="11">
                  <c:v>0.8</c:v>
                </c:pt>
              </c:numCache>
            </c:numRef>
          </c:val>
          <c:smooth val="0"/>
          <c:extLst>
            <c:ext xmlns:c16="http://schemas.microsoft.com/office/drawing/2014/chart" uri="{C3380CC4-5D6E-409C-BE32-E72D297353CC}">
              <c16:uniqueId val="{00000000-EE10-46A9-A9A1-F639C79F131A}"/>
            </c:ext>
          </c:extLst>
        </c:ser>
        <c:ser>
          <c:idx val="1"/>
          <c:order val="1"/>
          <c:tx>
            <c:strRef>
              <c:f>'11.GROWTH '!$H$17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'!$I$17:$T$17</c:f>
              <c:numCache>
                <c:formatCode>0%</c:formatCode>
                <c:ptCount val="12"/>
                <c:pt idx="0">
                  <c:v>0.2923</c:v>
                </c:pt>
                <c:pt idx="1">
                  <c:v>0.31709999999999999</c:v>
                </c:pt>
                <c:pt idx="2">
                  <c:v>0.52500000000000002</c:v>
                </c:pt>
                <c:pt idx="3">
                  <c:v>0.65900000000000003</c:v>
                </c:pt>
                <c:pt idx="4">
                  <c:v>0.69699999999999995</c:v>
                </c:pt>
                <c:pt idx="5">
                  <c:v>0.71299999999999997</c:v>
                </c:pt>
                <c:pt idx="6">
                  <c:v>0.75700000000000001</c:v>
                </c:pt>
              </c:numCache>
            </c:numRef>
          </c:val>
          <c:smooth val="0"/>
          <c:extLst>
            <c:ext xmlns:c16="http://schemas.microsoft.com/office/drawing/2014/chart" uri="{C3380CC4-5D6E-409C-BE32-E72D297353CC}">
              <c16:uniqueId val="{00000001-EE10-46A9-A9A1-F639C79F131A}"/>
            </c:ext>
          </c:extLst>
        </c:ser>
        <c:ser>
          <c:idx val="2"/>
          <c:order val="2"/>
          <c:tx>
            <c:v>green</c:v>
          </c:tx>
          <c:spPr>
            <a:ln w="15875" cap="rnd">
              <a:solidFill>
                <a:srgbClr val="4EA72E"/>
              </a:solidFill>
              <a:round/>
            </a:ln>
            <a:effectLst/>
          </c:spPr>
          <c:marker>
            <c:symbol val="circle"/>
            <c:size val="3"/>
            <c:spPr>
              <a:solidFill>
                <a:schemeClr val="accent6"/>
              </a:solidFill>
              <a:ln w="9525">
                <a:solidFill>
                  <a:schemeClr val="accent6"/>
                </a:solidFill>
              </a:ln>
              <a:effectLst/>
            </c:spPr>
          </c:marker>
          <c:val>
            <c:numRef>
              <c:f>'11.GROWTH '!$X$3:$AI$3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EE10-46A9-A9A1-F639C79F131A}"/>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'11.GROWTH '!$X$4:$AI$4</c:f>
              <c:numCache>
                <c:formatCode>General</c:formatCode>
                <c:ptCount val="12"/>
                <c:pt idx="0">
                  <c:v>0.2923</c:v>
                </c:pt>
                <c:pt idx="1">
                  <c:v>0.31709999999999999</c:v>
                </c:pt>
                <c:pt idx="2">
                  <c:v>0.52500000000000002</c:v>
                </c:pt>
                <c:pt idx="3">
                  <c:v>0.65900000000000003</c:v>
                </c:pt>
                <c:pt idx="4">
                  <c:v>0.69699999999999995</c:v>
                </c:pt>
                <c:pt idx="5">
                  <c:v>0.71299999999999997</c:v>
                </c:pt>
                <c:pt idx="6">
                  <c:v>0.75700000000000001</c:v>
                </c:pt>
                <c:pt idx="7">
                  <c:v>#N/A</c:v>
                </c:pt>
                <c:pt idx="8">
                  <c:v>#N/A</c:v>
                </c:pt>
                <c:pt idx="9">
                  <c:v>#N/A</c:v>
                </c:pt>
                <c:pt idx="10">
                  <c:v>#N/A</c:v>
                </c:pt>
                <c:pt idx="11">
                  <c:v>#N/A</c:v>
                </c:pt>
              </c:numCache>
            </c:numRef>
          </c:val>
          <c:smooth val="0"/>
          <c:extLst>
            <c:ext xmlns:c16="http://schemas.microsoft.com/office/drawing/2014/chart" uri="{C3380CC4-5D6E-409C-BE32-E72D297353CC}">
              <c16:uniqueId val="{00000003-EE10-46A9-A9A1-F639C79F131A}"/>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'11.GROWTH '!$H$18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'!$I$18:$T$18</c:f>
              <c:numCache>
                <c:formatCode>0.0</c:formatCode>
                <c:ptCount val="12"/>
                <c:pt idx="0">
                  <c:v>4.838709677419355</c:v>
                </c:pt>
                <c:pt idx="1">
                  <c:v>14.516129032258064</c:v>
                </c:pt>
                <c:pt idx="2">
                  <c:v>17.1875</c:v>
                </c:pt>
                <c:pt idx="3">
                  <c:v>13.4375</c:v>
                </c:pt>
                <c:pt idx="4">
                  <c:v>20.3125</c:v>
                </c:pt>
                <c:pt idx="5">
                  <c:v>19.393939393939394</c:v>
                </c:pt>
                <c:pt idx="6">
                  <c:v>9.9999999999999982</c:v>
                </c:pt>
                <c:pt idx="7">
                  <c:v>18.484848484848484</c:v>
                </c:pt>
                <c:pt idx="8">
                  <c:v>18.823529411764707</c:v>
                </c:pt>
                <c:pt idx="9">
                  <c:v>12.058823529411763</c:v>
                </c:pt>
                <c:pt idx="10">
                  <c:v>22.352941176470587</c:v>
                </c:pt>
                <c:pt idx="11">
                  <c:v>19.142857142857146</c:v>
                </c:pt>
              </c:numCache>
            </c:numRef>
          </c:val>
          <c:smooth val="0"/>
          <c:extLst>
            <c:ext xmlns:c16="http://schemas.microsoft.com/office/drawing/2014/chart" uri="{C3380CC4-5D6E-409C-BE32-E72D297353CC}">
              <c16:uniqueId val="{00000000-D541-4275-90DF-629A8A1B1673}"/>
            </c:ext>
          </c:extLst>
        </c:ser>
        <c:ser>
          <c:idx val="1"/>
          <c:order val="1"/>
          <c:tx>
            <c:strRef>
              <c:f>'11.GROWTH '!$H$19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'!$I$19:$T$19</c:f>
              <c:numCache>
                <c:formatCode>General</c:formatCode>
                <c:ptCount val="12"/>
                <c:pt idx="0">
                  <c:v>6.4</c:v>
                </c:pt>
                <c:pt idx="1">
                  <c:v>8.6</c:v>
                </c:pt>
                <c:pt idx="2">
                  <c:v>17</c:v>
                </c:pt>
                <c:pt idx="3">
                  <c:v>13</c:v>
                </c:pt>
              </c:numCache>
            </c:numRef>
          </c:val>
          <c:smooth val="0"/>
          <c:extLst>
            <c:ext xmlns:c16="http://schemas.microsoft.com/office/drawing/2014/chart" uri="{C3380CC4-5D6E-409C-BE32-E72D297353CC}">
              <c16:uniqueId val="{00000001-D541-4275-90DF-629A8A1B1673}"/>
            </c:ext>
          </c:extLst>
        </c:ser>
        <c:ser>
          <c:idx val="2"/>
          <c:order val="2"/>
          <c:tx>
            <c:v>green</c:v>
          </c:tx>
          <c:spPr>
            <a:ln w="15875" cap="rnd">
              <a:solidFill>
                <a:srgbClr val="4EA72E">
                  <a:alpha val="90980"/>
                </a:srgbClr>
              </a:solidFill>
              <a:round/>
            </a:ln>
            <a:effectLst/>
          </c:spPr>
          <c:marker>
            <c:symbol val="circle"/>
            <c:size val="3"/>
            <c:spPr>
              <a:solidFill>
                <a:schemeClr val="accent6">
                  <a:alpha val="99000"/>
                </a:schemeClr>
              </a:solidFill>
              <a:ln w="9525">
                <a:noFill/>
              </a:ln>
              <a:effectLst/>
            </c:spPr>
          </c:marker>
          <c:val>
            <c:numRef>
              <c:f>'11.GROWTH '!$X$5:$AI$5</c:f>
              <c:numCache>
                <c:formatCode>General</c:formatCode>
                <c:ptCount val="12"/>
                <c:pt idx="0">
                  <c:v>6.4</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D541-4275-90DF-629A8A1B1673}"/>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'11.GROWTH '!$X$6:$AI$6</c:f>
              <c:numCache>
                <c:formatCode>General</c:formatCode>
                <c:ptCount val="12"/>
                <c:pt idx="0">
                  <c:v>#N/A</c:v>
                </c:pt>
                <c:pt idx="1">
                  <c:v>8.6</c:v>
                </c:pt>
                <c:pt idx="2">
                  <c:v>17</c:v>
                </c:pt>
                <c:pt idx="3">
                  <c:v>13</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D541-4275-90DF-629A8A1B1673}"/>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'11.GROWTH '!$H$20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'!$I$20:$T$20</c:f>
              <c:numCache>
                <c:formatCode>0%</c:formatCode>
                <c:ptCount val="12"/>
                <c:pt idx="0">
                  <c:v>0.31</c:v>
                </c:pt>
                <c:pt idx="1">
                  <c:v>0.31</c:v>
                </c:pt>
                <c:pt idx="2">
                  <c:v>0.32</c:v>
                </c:pt>
                <c:pt idx="3">
                  <c:v>0.32</c:v>
                </c:pt>
                <c:pt idx="4">
                  <c:v>0.32</c:v>
                </c:pt>
                <c:pt idx="5">
                  <c:v>0.33</c:v>
                </c:pt>
                <c:pt idx="6">
                  <c:v>0.33</c:v>
                </c:pt>
                <c:pt idx="7">
                  <c:v>0.33</c:v>
                </c:pt>
                <c:pt idx="8">
                  <c:v>0.34</c:v>
                </c:pt>
                <c:pt idx="9">
                  <c:v>0.34</c:v>
                </c:pt>
                <c:pt idx="10">
                  <c:v>0.34</c:v>
                </c:pt>
                <c:pt idx="11">
                  <c:v>0.35</c:v>
                </c:pt>
              </c:numCache>
            </c:numRef>
          </c:val>
          <c:smooth val="0"/>
          <c:extLst>
            <c:ext xmlns:c16="http://schemas.microsoft.com/office/drawing/2014/chart" uri="{C3380CC4-5D6E-409C-BE32-E72D297353CC}">
              <c16:uniqueId val="{00000000-2DF5-4A13-A539-996214AFB8CB}"/>
            </c:ext>
          </c:extLst>
        </c:ser>
        <c:ser>
          <c:idx val="1"/>
          <c:order val="1"/>
          <c:tx>
            <c:strRef>
              <c:f>'11.GROWTH '!$H$21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'!$I$21:$T$21</c:f>
              <c:numCache>
                <c:formatCode>0%</c:formatCode>
                <c:ptCount val="12"/>
                <c:pt idx="0">
                  <c:v>0.34899999999999998</c:v>
                </c:pt>
                <c:pt idx="1">
                  <c:v>0.35299999999999998</c:v>
                </c:pt>
                <c:pt idx="2">
                  <c:v>0.35</c:v>
                </c:pt>
                <c:pt idx="3">
                  <c:v>0.35599999999999998</c:v>
                </c:pt>
              </c:numCache>
            </c:numRef>
          </c:val>
          <c:smooth val="0"/>
          <c:extLst>
            <c:ext xmlns:c16="http://schemas.microsoft.com/office/drawing/2014/chart" uri="{C3380CC4-5D6E-409C-BE32-E72D297353CC}">
              <c16:uniqueId val="{00000001-2DF5-4A13-A539-996214AFB8CB}"/>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'11.GROWTH '!$X$7:$AI$7</c:f>
              <c:numCache>
                <c:formatCode>General</c:formatCode>
                <c:ptCount val="12"/>
                <c:pt idx="0">
                  <c:v>0.34899999999999998</c:v>
                </c:pt>
                <c:pt idx="1">
                  <c:v>0.35299999999999998</c:v>
                </c:pt>
                <c:pt idx="2">
                  <c:v>0.35</c:v>
                </c:pt>
                <c:pt idx="3">
                  <c:v>0.35599999999999998</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2DF5-4A13-A539-996214AFB8CB}"/>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'11.GROWTH '!$X$8:$AI$8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2DF5-4A13-A539-996214AFB8CB}"/>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'11.GROWTH '!$H$24</c:f>
              <c:strCache>
                <c:ptCount val="1"/>
                <c:pt idx="0">
                  <c:v>Target</c:v>
                </c:pt>
              </c:strCache>
            </c:strRef>
          </c:tx>
          <c:spPr>
            <a:ln w="15875" cap="rnd">
              <a:solidFill>
                <a:schemeClr val="accent1">
                  <a:alpha val="97000"/>
                </a:schemeClr>
              </a:solidFill>
              <a:round/>
            </a:ln>
            <a:effectLst/>
          </c:spPr>
          <c:marker>
            <c:symbol val="circle"/>
            <c:size val="3"/>
            <c:spPr>
              <a:solidFill>
                <a:schemeClr val="accent1"/>
              </a:solidFill>
              <a:ln w="9525">
                <a:solidFill>
                  <a:schemeClr val="accent1"/>
                </a:solid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'!$I$24:$T$24</c:f>
              <c:numCache>
                <c:formatCode>0%</c:formatCode>
                <c:ptCount val="12"/>
                <c:pt idx="0">
                  <c:v>0.4</c:v>
                </c:pt>
                <c:pt idx="1">
                  <c:v>0.4</c:v>
                </c:pt>
                <c:pt idx="2">
                  <c:v>0.4</c:v>
                </c:pt>
                <c:pt idx="3">
                  <c:v>0.4</c:v>
                </c:pt>
                <c:pt idx="4">
                  <c:v>0.4</c:v>
                </c:pt>
                <c:pt idx="5">
                  <c:v>0.4</c:v>
                </c:pt>
                <c:pt idx="6">
                  <c:v>0.4</c:v>
                </c:pt>
                <c:pt idx="7">
                  <c:v>0.4</c:v>
                </c:pt>
                <c:pt idx="8">
                  <c:v>0.4</c:v>
                </c:pt>
                <c:pt idx="9">
                  <c:v>0.4</c:v>
                </c:pt>
                <c:pt idx="10">
                  <c:v>0.4</c:v>
                </c:pt>
                <c:pt idx="11">
                  <c:v>0.4</c:v>
                </c:pt>
              </c:numCache>
            </c:numRef>
          </c:val>
          <c:smooth val="0"/>
          <c:extLst>
            <c:ext xmlns:c16="http://schemas.microsoft.com/office/drawing/2014/chart" uri="{C3380CC4-5D6E-409C-BE32-E72D297353CC}">
              <c16:uniqueId val="{00000000-840C-4DE5-98AB-8040B956B9C7}"/>
            </c:ext>
          </c:extLst>
        </c:ser>
        <c:ser>
          <c:idx val="1"/>
          <c:order val="1"/>
          <c:tx>
            <c:strRef>
              <c:f>'11.GROWTH '!$H$25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'!$I$25:$T$25</c:f>
              <c:numCache>
                <c:formatCode>0%</c:formatCode>
                <c:ptCount val="12"/>
                <c:pt idx="0">
                  <c:v>0.51700000000000002</c:v>
                </c:pt>
                <c:pt idx="1">
                  <c:v>0.52200000000000002</c:v>
                </c:pt>
                <c:pt idx="2">
                  <c:v>0.5</c:v>
                </c:pt>
                <c:pt idx="3">
                  <c:v>0.497</c:v>
                </c:pt>
                <c:pt idx="4">
                  <c:v>0.47299999999999998</c:v>
                </c:pt>
                <c:pt idx="5">
                  <c:v>0.35899999999999999</c:v>
                </c:pt>
                <c:pt idx="6">
                  <c:v>0.377</c:v>
                </c:pt>
              </c:numCache>
            </c:numRef>
          </c:val>
          <c:smooth val="0"/>
          <c:extLst>
            <c:ext xmlns:c16="http://schemas.microsoft.com/office/drawing/2014/chart" uri="{C3380CC4-5D6E-409C-BE32-E72D297353CC}">
              <c16:uniqueId val="{00000001-840C-4DE5-98AB-8040B956B9C7}"/>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'11.GROWTH '!$X$9:$AI$9</c:f>
              <c:numCache>
                <c:formatCode>General</c:formatCode>
                <c:ptCount val="12"/>
                <c:pt idx="0">
                  <c:v>0.51700000000000002</c:v>
                </c:pt>
                <c:pt idx="1">
                  <c:v>0.52200000000000002</c:v>
                </c:pt>
                <c:pt idx="2">
                  <c:v>0.5</c:v>
                </c:pt>
                <c:pt idx="3">
                  <c:v>0.497</c:v>
                </c:pt>
                <c:pt idx="4">
                  <c:v>0.47299999999999998</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840C-4DE5-98AB-8040B956B9C7}"/>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'11.GROWTH '!$X$10:$AI$10</c:f>
              <c:numCache>
                <c:formatCode>General</c:formatCode>
                <c:ptCount val="12"/>
                <c:pt idx="0">
                  <c:v>#N/A</c:v>
                </c:pt>
                <c:pt idx="1">
                  <c:v>#N/A</c:v>
                </c:pt>
                <c:pt idx="2">
                  <c:v>#N/A</c:v>
                </c:pt>
                <c:pt idx="3">
                  <c:v>#N/A</c:v>
                </c:pt>
                <c:pt idx="4">
                  <c:v>#N/A</c:v>
                </c:pt>
                <c:pt idx="5">
                  <c:v>0.35899999999999999</c:v>
                </c:pt>
                <c:pt idx="6">
                  <c:v>0.377</c:v>
                </c:pt>
                <c:pt idx="7">
                  <c:v>#N/A</c:v>
                </c:pt>
                <c:pt idx="8">
                  <c:v>#N/A</c:v>
                </c:pt>
                <c:pt idx="9">
                  <c:v>#N/A</c:v>
                </c:pt>
                <c:pt idx="10">
                  <c:v>#N/A</c:v>
                </c:pt>
                <c:pt idx="11">
                  <c:v>#N/A</c:v>
                </c:pt>
              </c:numCache>
            </c:numRef>
          </c:val>
          <c:smooth val="0"/>
          <c:extLst>
            <c:ext xmlns:c16="http://schemas.microsoft.com/office/drawing/2014/chart" uri="{C3380CC4-5D6E-409C-BE32-E72D297353CC}">
              <c16:uniqueId val="{00000003-840C-4DE5-98AB-8040B956B9C7}"/>
            </c:ext>
          </c:extLst>
        </c:ser>
        <c:dLbls>
          <c:showLegendKey val="0"/>
          <c:showVal val="0"/>
          <c:showCatName val="0"/>
          <c:showSerName val="0"/>
          <c:showPercent val="0"/>
          <c:showBubbleSize val="0"/>
        </c:dLbls>
        <c:marker val="1"/>
        <c:smooth val="0"/>
        <c:axId val="180688111"/>
        <c:axId val="180691471"/>
      </c:lineChart>
      <c:dateAx>
        <c:axId val="180688111"/>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91471"/>
        <c:crosses val="autoZero"/>
        <c:auto val="1"/>
        <c:lblOffset val="100"/>
        <c:baseTimeUnit val="months"/>
      </c:dateAx>
      <c:valAx>
        <c:axId val="180691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11"/>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'11.GROWTH '!$H$26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'!$I$26:$T$26</c:f>
              <c:numCache>
                <c:formatCode>0%</c:formatCode>
                <c:ptCount val="12"/>
                <c:pt idx="2">
                  <c:v>0.40200000000000002</c:v>
                </c:pt>
                <c:pt idx="5" formatCode="0.00%">
                  <c:v>0.36199999999999999</c:v>
                </c:pt>
                <c:pt idx="8" formatCode="0.00%">
                  <c:v>0.41299999999999998</c:v>
                </c:pt>
                <c:pt idx="11" formatCode="0.00%">
                  <c:v>0.36599999999999999</c:v>
                </c:pt>
              </c:numCache>
            </c:numRef>
          </c:val>
          <c:smooth val="0"/>
          <c:extLst>
            <c:ext xmlns:c16="http://schemas.microsoft.com/office/drawing/2014/chart" uri="{C3380CC4-5D6E-409C-BE32-E72D297353CC}">
              <c16:uniqueId val="{00000000-ED8E-420D-8D0E-FF50E218BE69}"/>
            </c:ext>
          </c:extLst>
        </c:ser>
        <c:ser>
          <c:idx val="1"/>
          <c:order val="1"/>
          <c:tx>
            <c:strRef>
              <c:f>'11.GROWTH '!$H$27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'!$I$27:$T$27</c:f>
              <c:numCache>
                <c:formatCode>0%</c:formatCode>
                <c:ptCount val="12"/>
                <c:pt idx="2">
                  <c:v>0.40235294117647058</c:v>
                </c:pt>
              </c:numCache>
            </c:numRef>
          </c:val>
          <c:smooth val="0"/>
          <c:extLst>
            <c:ext xmlns:c16="http://schemas.microsoft.com/office/drawing/2014/chart" uri="{C3380CC4-5D6E-409C-BE32-E72D297353CC}">
              <c16:uniqueId val="{00000001-ED8E-420D-8D0E-FF50E218BE69}"/>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'11.GROWTH '!$X$11:$AI$11</c:f>
              <c:numCache>
                <c:formatCode>General</c:formatCode>
                <c:ptCount val="12"/>
                <c:pt idx="0">
                  <c:v>#N/A</c:v>
                </c:pt>
                <c:pt idx="1">
                  <c:v>#N/A</c:v>
                </c:pt>
                <c:pt idx="2">
                  <c:v>0.40235294117647058</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ED8E-420D-8D0E-FF50E218BE69}"/>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'11.GROWTH '!$X$12:$AI$12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ED8E-420D-8D0E-FF50E218BE69}"/>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'12.FINANCE'!$H$14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'12.FINANCE'!$I$14:$T$14</c:f>
              <c:numCache>
                <c:formatCode>General</c:formatCode>
                <c:ptCount val="12"/>
              </c:numCache>
            </c:numRef>
          </c:val>
          <c:smooth val="0"/>
          <c:extLst>
            <c:ext xmlns:c16="http://schemas.microsoft.com/office/drawing/2014/chart" uri="{C3380CC4-5D6E-409C-BE32-E72D297353CC}">
              <c16:uniqueId val="{00000000-0339-4C52-A965-2819686D2237}"/>
            </c:ext>
          </c:extLst>
        </c:ser>
        <c:ser>
          <c:idx val="1"/>
          <c:order val="1"/>
          <c:tx>
            <c:strRef>
              <c:f>'12.FINANCE'!$H$15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'12.FINANCE'!$I$15:$T$15</c:f>
              <c:numCache>
                <c:formatCode>General</c:formatCode>
                <c:ptCount val="12"/>
              </c:numCache>
            </c:numRef>
          </c:val>
          <c:smooth val="0"/>
          <c:extLst>
            <c:ext xmlns:c16="http://schemas.microsoft.com/office/drawing/2014/chart" uri="{C3380CC4-5D6E-409C-BE32-E72D297353CC}">
              <c16:uniqueId val="{00000001-0339-4C52-A965-2819686D2237}"/>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'12.FINANCE'!$X$1:$AI$1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0339-4C52-A965-2819686D2237}"/>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'12.FINANCE'!$X$2:$AI$2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0339-4C52-A965-2819686D2237}"/>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'12.FINANCE'!$H$16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'12.FINANCE'!$I$16:$T$16</c:f>
              <c:numCache>
                <c:formatCode>General</c:formatCode>
                <c:ptCount val="12"/>
              </c:numCache>
            </c:numRef>
          </c:val>
          <c:smooth val="0"/>
          <c:extLst>
            <c:ext xmlns:c16="http://schemas.microsoft.com/office/drawing/2014/chart" uri="{C3380CC4-5D6E-409C-BE32-E72D297353CC}">
              <c16:uniqueId val="{00000000-272D-427A-94C6-124044F761DF}"/>
            </c:ext>
          </c:extLst>
        </c:ser>
        <c:ser>
          <c:idx val="1"/>
          <c:order val="1"/>
          <c:tx>
            <c:strRef>
              <c:f>'12.FINANCE'!$H$17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'12.FINANCE'!$I$17:$T$17</c:f>
              <c:numCache>
                <c:formatCode>General</c:formatCode>
                <c:ptCount val="12"/>
              </c:numCache>
            </c:numRef>
          </c:val>
          <c:smooth val="0"/>
          <c:extLst>
            <c:ext xmlns:c16="http://schemas.microsoft.com/office/drawing/2014/chart" uri="{C3380CC4-5D6E-409C-BE32-E72D297353CC}">
              <c16:uniqueId val="{00000001-272D-427A-94C6-124044F761DF}"/>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'12.FINANCE'!$X$3:$AI$3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272D-427A-94C6-124044F761DF}"/>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'12.FINANCE'!$X$4:$AI$4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272D-427A-94C6-124044F761DF}"/>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'12.FINANCE'!$H$18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'12.FINANCE'!$I$18:$T$18</c:f>
              <c:numCache>
                <c:formatCode>General</c:formatCode>
                <c:ptCount val="12"/>
              </c:numCache>
            </c:numRef>
          </c:val>
          <c:smooth val="0"/>
          <c:extLst>
            <c:ext xmlns:c16="http://schemas.microsoft.com/office/drawing/2014/chart" uri="{C3380CC4-5D6E-409C-BE32-E72D297353CC}">
              <c16:uniqueId val="{00000000-79FB-4BE3-8B79-02285944BF0D}"/>
            </c:ext>
          </c:extLst>
        </c:ser>
        <c:ser>
          <c:idx val="1"/>
          <c:order val="1"/>
          <c:tx>
            <c:strRef>
              <c:f>'12.FINANCE'!$H$19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'12.FINANCE'!$I$19:$T$19</c:f>
              <c:numCache>
                <c:formatCode>General</c:formatCode>
                <c:ptCount val="12"/>
              </c:numCache>
            </c:numRef>
          </c:val>
          <c:smooth val="0"/>
          <c:extLst>
            <c:ext xmlns:c16="http://schemas.microsoft.com/office/drawing/2014/chart" uri="{C3380CC4-5D6E-409C-BE32-E72D297353CC}">
              <c16:uniqueId val="{00000001-79FB-4BE3-8B79-02285944BF0D}"/>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'12.FINANCE'!$X$5:$AI$5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79FB-4BE3-8B79-02285944BF0D}"/>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'12.FINANCE'!$X$6:$AI$6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79FB-4BE3-8B79-02285944BF0D}"/>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'12.FINANCE'!$H$20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'12.FINANCE'!$I$20:$T$20</c:f>
              <c:numCache>
                <c:formatCode>General</c:formatCode>
                <c:ptCount val="12"/>
              </c:numCache>
            </c:numRef>
          </c:val>
          <c:smooth val="0"/>
          <c:extLst>
            <c:ext xmlns:c16="http://schemas.microsoft.com/office/drawing/2014/chart" uri="{C3380CC4-5D6E-409C-BE32-E72D297353CC}">
              <c16:uniqueId val="{00000000-79EE-4C3A-A1EA-0E79381178A6}"/>
            </c:ext>
          </c:extLst>
        </c:ser>
        <c:ser>
          <c:idx val="1"/>
          <c:order val="1"/>
          <c:tx>
            <c:strRef>
              <c:f>'12.FINANCE'!$H$21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'12.FINANCE'!$I$21:$T$21</c:f>
              <c:numCache>
                <c:formatCode>General</c:formatCode>
                <c:ptCount val="12"/>
              </c:numCache>
            </c:numRef>
          </c:val>
          <c:smooth val="0"/>
          <c:extLst>
            <c:ext xmlns:c16="http://schemas.microsoft.com/office/drawing/2014/chart" uri="{C3380CC4-5D6E-409C-BE32-E72D297353CC}">
              <c16:uniqueId val="{00000001-79EE-4C3A-A1EA-0E79381178A6}"/>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'12.FINANCE'!$X$7:$AI$7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79EE-4C3A-A1EA-0E79381178A6}"/>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'12.FINANCE'!$X$8:$AI$8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79EE-4C3A-A1EA-0E79381178A6}"/>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'12.FINANCE'!$H$22</c:f>
              <c:strCache>
                <c:ptCount val="1"/>
                <c:pt idx="0">
                  <c:v>Target</c:v>
                </c:pt>
              </c:strCache>
            </c:strRef>
          </c:tx>
          <c:spPr>
            <a:ln w="15875" cap="rnd">
              <a:solidFill>
                <a:schemeClr val="accent1">
                  <a:alpha val="97000"/>
                </a:schemeClr>
              </a:solidFill>
              <a:round/>
            </a:ln>
            <a:effectLst/>
          </c:spPr>
          <c:marker>
            <c:symbol val="circle"/>
            <c:size val="3"/>
            <c:spPr>
              <a:solidFill>
                <a:schemeClr val="accent1"/>
              </a:solidFill>
              <a:ln w="9525">
                <a:solidFill>
                  <a:schemeClr val="accent1"/>
                </a:solid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'12.FINANCE'!$I$22:$T$22</c:f>
              <c:numCache>
                <c:formatCode>General</c:formatCode>
                <c:ptCount val="12"/>
              </c:numCache>
            </c:numRef>
          </c:val>
          <c:smooth val="0"/>
          <c:extLst>
            <c:ext xmlns:c16="http://schemas.microsoft.com/office/drawing/2014/chart" uri="{C3380CC4-5D6E-409C-BE32-E72D297353CC}">
              <c16:uniqueId val="{00000000-809A-4837-9110-1B2994B12C97}"/>
            </c:ext>
          </c:extLst>
        </c:ser>
        <c:ser>
          <c:idx val="1"/>
          <c:order val="1"/>
          <c:tx>
            <c:strRef>
              <c:f>'12.FINANCE'!$H$23</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'12.FINANCE'!$I$23:$T$23</c:f>
              <c:numCache>
                <c:formatCode>General</c:formatCode>
                <c:ptCount val="12"/>
              </c:numCache>
            </c:numRef>
          </c:val>
          <c:smooth val="0"/>
          <c:extLst>
            <c:ext xmlns:c16="http://schemas.microsoft.com/office/drawing/2014/chart" uri="{C3380CC4-5D6E-409C-BE32-E72D297353CC}">
              <c16:uniqueId val="{00000001-809A-4837-9110-1B2994B12C97}"/>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'12.FINANCE'!$X$9:$AI$9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809A-4837-9110-1B2994B12C97}"/>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'12.FINANCE'!$X$10:$AI$10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809A-4837-9110-1B2994B12C97}"/>
            </c:ext>
          </c:extLst>
        </c:ser>
        <c:dLbls>
          <c:showLegendKey val="0"/>
          <c:showVal val="0"/>
          <c:showCatName val="0"/>
          <c:showSerName val="0"/>
          <c:showPercent val="0"/>
          <c:showBubbleSize val="0"/>
        </c:dLbls>
        <c:marker val="1"/>
        <c:smooth val="0"/>
        <c:axId val="180688111"/>
        <c:axId val="180691471"/>
      </c:lineChart>
      <c:dateAx>
        <c:axId val="180688111"/>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91471"/>
        <c:crosses val="autoZero"/>
        <c:auto val="1"/>
        <c:lblOffset val="100"/>
        <c:baseTimeUnit val="months"/>
      </c:dateAx>
      <c:valAx>
        <c:axId val="18069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11"/>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'12.FINANCE'!$H$24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'12.FINANCE'!$I$24:$T$24</c:f>
              <c:numCache>
                <c:formatCode>General</c:formatCode>
                <c:ptCount val="12"/>
              </c:numCache>
            </c:numRef>
          </c:val>
          <c:smooth val="0"/>
          <c:extLst>
            <c:ext xmlns:c16="http://schemas.microsoft.com/office/drawing/2014/chart" uri="{C3380CC4-5D6E-409C-BE32-E72D297353CC}">
              <c16:uniqueId val="{00000000-ADAF-4719-864B-E03D89AD11EB}"/>
            </c:ext>
          </c:extLst>
        </c:ser>
        <c:ser>
          <c:idx val="1"/>
          <c:order val="1"/>
          <c:tx>
            <c:strRef>
              <c:f>'12.FINANCE'!$H$25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'12.FINANCE'!$I$25:$T$25</c:f>
              <c:numCache>
                <c:formatCode>General</c:formatCode>
                <c:ptCount val="12"/>
              </c:numCache>
            </c:numRef>
          </c:val>
          <c:smooth val="0"/>
          <c:extLst>
            <c:ext xmlns:c16="http://schemas.microsoft.com/office/drawing/2014/chart" uri="{C3380CC4-5D6E-409C-BE32-E72D297353CC}">
              <c16:uniqueId val="{00000001-ADAF-4719-864B-E03D89AD11EB}"/>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'12.FINANCE'!$X$11:$AI$11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ADAF-4719-864B-E03D89AD11EB}"/>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'12.FINANCE'!$X$12:$AI$12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ADAF-4719-864B-E03D89AD11EB}"/>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val">
        <cx:f dir="row">_xlchart.v1.1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_xlchart.v1.2</cx:f>
      </cx:strDim>
      <cx:numDim type="val">
        <cx:f dir="row">_xlchart.v1.3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 dir="row">_xlchart.v1.4</cx:f>
      </cx:strDim>
      <cx:numDim type="val">
        <cx:f dir="row">_xlchart.v1.5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 dir="row">_xlchart.v1.6</cx:f>
      </cx:strDim>
      <cx:numDim type="val">
        <cx:f dir="row">_xlchart.v1.7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 dir="row">_xlchart.v1.8</cx:f>
      </cx:strDim>
      <cx:numDim type="val">
        <cx:f dir="row">_xlchart.v1.9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 dir="row">_xlchart.v1.10</cx:f>
      </cx:strDim>
      <cx:numDim type="val">
        <cx:f dir="row">_xlchart.v1.11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 dir="row">_xlchart.v1.12</cx:f>
      </cx:strDim>
      <cx:numDim type="val">
        <cx:f dir="row">_xlchart.v1.13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 dir="row">_xlchart.v1.14</cx:f>
      </cx:strDim>
      <cx:numDim type="val">
        <cx:f dir="row">_xlchart.v1.15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strDim type="cat">
        <cx:f dir="row">_xlchart.v1.17</cx:f>
      </cx:strDim>
      <cx:numDim type="val">
        <cx:f dir="row">_xlchart.v1.16</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strDim type="cat">
        <cx:f dir="row">_xlchart.v1.18</cx:f>
      </cx:strDim>
      <cx:numDim type="val">
        <cx:f dir="row">_xlchart.v1.19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1.xml><?xml version="1.0" encoding="utf-8"?>
<cx:chartSpace xmlns:a="http://schemas.openxmlformats.org/drawingml/2006/main" xmlns:r="http://schemas.openxmlformats.org/officeDocument/2006/relationships" xmlns:cx="http://schemas.microsoft.com/office/drawing/2014/chartex">
  <cx:chartData>
    <cx:data id="0">
      <cx:strDim type="cat">
        <cx:f dir="row">_xlchart.v1.20</cx:f>
      </cx:strDim>
      <cx:numDim type="val">
        <cx:f dir="row">_xlchart.v1.21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2.xml><?xml version="1.0" encoding="utf-8"?>
<cx:chartSpace xmlns:a="http://schemas.openxmlformats.org/drawingml/2006/main" xmlns:r="http://schemas.openxmlformats.org/officeDocument/2006/relationships" xmlns:cx="http://schemas.microsoft.com/office/drawing/2014/chartex">
  <cx:chartData>
    <cx:data id="0">
      <cx:strDim type="cat">
        <cx:f dir="row">_xlchart.v1.22</cx:f>
      </cx:strDim>
      <cx:numDim type="val">
        <cx:f dir="row">_xlchart.v1.23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3.xml><?xml version="1.0" encoding="utf-8"?>
<cx:chartSpace xmlns:a="http://schemas.openxmlformats.org/drawingml/2006/main" xmlns:r="http://schemas.openxmlformats.org/officeDocument/2006/relationships" xmlns:cx="http://schemas.microsoft.com/office/drawing/2014/chartex">
  <cx:chartData>
    <cx:data id="0">
      <cx:strDim type="cat">
        <cx:f dir="row">_xlchart.v1.24</cx:f>
      </cx:strDim>
      <cx:numDim type="val">
        <cx:f dir="row">_xlchart.v1.25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4.xml><?xml version="1.0" encoding="utf-8"?>
<cx:chartSpace xmlns:a="http://schemas.openxmlformats.org/drawingml/2006/main" xmlns:r="http://schemas.openxmlformats.org/officeDocument/2006/relationships" xmlns:cx="http://schemas.microsoft.com/office/drawing/2014/chartex">
  <cx:chartData>
    <cx:data id="0">
      <cx:strDim type="cat">
        <cx:f dir="row">_xlchart.v1.26</cx:f>
      </cx:strDim>
      <cx:numDim type="val">
        <cx:f dir="row">_xlchart.v1.27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5.xml><?xml version="1.0" encoding="utf-8"?>
<cx:chartSpace xmlns:a="http://schemas.openxmlformats.org/drawingml/2006/main" xmlns:r="http://schemas.openxmlformats.org/officeDocument/2006/relationships" xmlns:cx="http://schemas.microsoft.com/office/drawing/2014/chartex">
  <cx:chartData>
    <cx:data id="0">
      <cx:strDim type="cat">
        <cx:f dir="row">_xlchart.v1.28</cx:f>
      </cx:strDim>
      <cx:numDim type="val">
        <cx:f dir="row">_xlchart.v1.29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6.xml><?xml version="1.0" encoding="utf-8"?>
<cx:chartSpace xmlns:a="http://schemas.openxmlformats.org/drawingml/2006/main" xmlns:r="http://schemas.openxmlformats.org/officeDocument/2006/relationships" xmlns:cx="http://schemas.microsoft.com/office/drawing/2014/chartex">
  <cx:chartData>
    <cx:data id="0">
      <cx:strDim type="cat">
        <cx:f dir="row">_xlchart.v1.30</cx:f>
      </cx:strDim>
      <cx:numDim type="val">
        <cx:f dir="row">_xlchart.v1.31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7.xml><?xml version="1.0" encoding="utf-8"?>
<cx:chartSpace xmlns:a="http://schemas.openxmlformats.org/drawingml/2006/main" xmlns:r="http://schemas.openxmlformats.org/officeDocument/2006/relationships" xmlns:cx="http://schemas.microsoft.com/office/drawing/2014/chartex">
  <cx:chartData>
    <cx:data id="0">
      <cx:strDim type="cat">
        <cx:f dir="row">_xlchart.v1.32</cx:f>
      </cx:strDim>
      <cx:numDim type="val">
        <cx:f dir="row">_xlchart.v1.33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8.xml><?xml version="1.0" encoding="utf-8"?>
<cx:chartSpace xmlns:a="http://schemas.openxmlformats.org/drawingml/2006/main" xmlns:r="http://schemas.openxmlformats.org/officeDocument/2006/relationships" xmlns:cx="http://schemas.microsoft.com/office/drawing/2014/chartex">
  <cx:chartData>
    <cx:data id="0">
      <cx:strDim type="cat">
        <cx:f dir="row">_xlchart.v1.34</cx:f>
      </cx:strDim>
      <cx:numDim type="val">
        <cx:f dir="row">_xlchart.v1.35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9.xml><?xml version="1.0" encoding="utf-8"?>
<cx:chartSpace xmlns:a="http://schemas.openxmlformats.org/drawingml/2006/main" xmlns:r="http://schemas.openxmlformats.org/officeDocument/2006/relationships" xmlns:cx="http://schemas.microsoft.com/office/drawing/2014/chartex">
  <cx:chartData>
    <cx:data id="0">
      <cx:strDim type="cat">
        <cx:f dir="row">_xlchart.v1.36</cx:f>
      </cx:strDim>
      <cx:numDim type="val">
        <cx:f dir="row">_xlchart.v1.37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0.xml><?xml version="1.0" encoding="utf-8"?>
<cx:chartSpace xmlns:a="http://schemas.openxmlformats.org/drawingml/2006/main" xmlns:r="http://schemas.openxmlformats.org/officeDocument/2006/relationships" xmlns:cx="http://schemas.microsoft.com/office/drawing/2014/chartex">
  <cx:chartData>
    <cx:data id="0">
      <cx:strDim type="cat">
        <cx:f dir="row">_xlchart.v1.38</cx:f>
      </cx:strDim>
      <cx:numDim type="val">
        <cx:f dir="row">_xlchart.v1.39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1.xml><?xml version="1.0" encoding="utf-8"?>
<cx:chartSpace xmlns:a="http://schemas.openxmlformats.org/drawingml/2006/main" xmlns:r="http://schemas.openxmlformats.org/officeDocument/2006/relationships" xmlns:cx="http://schemas.microsoft.com/office/drawing/2014/chartex">
  <cx:chartData>
    <cx:data id="0">
      <cx:strDim type="cat">
        <cx:f dir="row">_xlchart.v1.40</cx:f>
      </cx:strDim>
      <cx:numDim type="val">
        <cx:f dir="row">_xlchart.v1.41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2.xml><?xml version="1.0" encoding="utf-8"?>
<cx:chartSpace xmlns:a="http://schemas.openxmlformats.org/drawingml/2006/main" xmlns:r="http://schemas.openxmlformats.org/officeDocument/2006/relationships" xmlns:cx="http://schemas.microsoft.com/office/drawing/2014/chartex">
  <cx:chartData>
    <cx:data id="0">
      <cx:strDim type="cat">
        <cx:f dir="row">_xlchart.v1.42</cx:f>
      </cx:strDim>
      <cx:numDim type="val">
        <cx:f dir="row">_xlchart.v1.43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3.xml><?xml version="1.0" encoding="utf-8"?>
<cx:chartSpace xmlns:a="http://schemas.openxmlformats.org/drawingml/2006/main" xmlns:r="http://schemas.openxmlformats.org/officeDocument/2006/relationships" xmlns:cx="http://schemas.microsoft.com/office/drawing/2014/chartex">
  <cx:chartData>
    <cx:data id="0">
      <cx:strDim type="cat">
        <cx:f dir="row">_xlchart.v1.44</cx:f>
      </cx:strDim>
      <cx:numDim type="val">
        <cx:f dir="row">_xlchart.v1.45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4.xml><?xml version="1.0" encoding="utf-8"?>
<cx:chartSpace xmlns:a="http://schemas.openxmlformats.org/drawingml/2006/main" xmlns:r="http://schemas.openxmlformats.org/officeDocument/2006/relationships" xmlns:cx="http://schemas.microsoft.com/office/drawing/2014/chartex">
  <cx:chartData>
    <cx:data id="0">
      <cx:strDim type="cat">
        <cx:f dir="row">_xlchart.v1.46</cx:f>
      </cx:strDim>
      <cx:numDim type="val">
        <cx:f dir="row">_xlchart.v1.47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5.xml><?xml version="1.0" encoding="utf-8"?>
<cx:chartSpace xmlns:a="http://schemas.openxmlformats.org/drawingml/2006/main" xmlns:r="http://schemas.openxmlformats.org/officeDocument/2006/relationships" xmlns:cx="http://schemas.microsoft.com/office/drawing/2014/chartex">
  <cx:chartData>
    <cx:data id="0">
      <cx:strDim type="cat">
        <cx:f dir="row">_xlchart.v1.48</cx:f>
      </cx:strDim>
      <cx:numDim type="val">
        <cx:f dir="row">_xlchart.v1.49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6.xml><?xml version="1.0" encoding="utf-8"?>
<cx:chartSpace xmlns:a="http://schemas.openxmlformats.org/drawingml/2006/main" xmlns:r="http://schemas.openxmlformats.org/officeDocument/2006/relationships" xmlns:cx="http://schemas.microsoft.com/office/drawing/2014/chartex">
  <cx:chartData>
    <cx:data id="0">
      <cx:strDim type="cat">
        <cx:f dir="row">_xlchart.v1.50</cx:f>
      </cx:strDim>
      <cx:numDim type="val">
        <cx:f dir="row">_xlchart.v1.51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7.xml><?xml version="1.0" encoding="utf-8"?>
<cx:chartSpace xmlns:a="http://schemas.openxmlformats.org/drawingml/2006/main" xmlns:r="http://schemas.openxmlformats.org/officeDocument/2006/relationships" xmlns:cx="http://schemas.microsoft.com/office/drawing/2014/chartex">
  <cx:chartData>
    <cx:data id="0">
      <cx:strDim type="cat">
        <cx:f dir="row">_xlchart.v1.52</cx:f>
      </cx:strDim>
      <cx:numDim type="val">
        <cx:f dir="row">_xlchart.v1.53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8.xml><?xml version="1.0" encoding="utf-8"?>
<cx:chartSpace xmlns:a="http://schemas.openxmlformats.org/drawingml/2006/main" xmlns:r="http://schemas.openxmlformats.org/officeDocument/2006/relationships" xmlns:cx="http://schemas.microsoft.com/office/drawing/2014/chartex">
  <cx:chartData>
    <cx:data id="0">
      <cx:strDim type="cat">
        <cx:f dir="row">_xlchart.v1.54</cx:f>
      </cx:strDim>
      <cx:numDim type="val">
        <cx:f dir="row">_xlchart.v1.55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9.xml><?xml version="1.0" encoding="utf-8"?>
<cx:chartSpace xmlns:a="http://schemas.openxmlformats.org/drawingml/2006/main" xmlns:r="http://schemas.openxmlformats.org/officeDocument/2006/relationships" xmlns:cx="http://schemas.microsoft.com/office/drawing/2014/chartex">
  <cx:chartData>
    <cx:data id="0">
      <cx:strDim type="cat">
        <cx:f dir="row">_xlchart.v1.56</cx:f>
      </cx:strDim>
      <cx:numDim type="val">
        <cx:f dir="row">_xlchart.v1.57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0.xml><?xml version="1.0" encoding="utf-8"?>
<cx:chartSpace xmlns:a="http://schemas.openxmlformats.org/drawingml/2006/main" xmlns:r="http://schemas.openxmlformats.org/officeDocument/2006/relationships" xmlns:cx="http://schemas.microsoft.com/office/drawing/2014/chartex">
  <cx:chartData>
    <cx:data id="0">
      <cx:strDim type="cat">
        <cx:f dir="row">_xlchart.v1.58</cx:f>
      </cx:strDim>
      <cx:numDim type="val">
        <cx:f dir="row">_xlchart.v1.59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1.xml><?xml version="1.0" encoding="utf-8"?>
<cx:chartSpace xmlns:a="http://schemas.openxmlformats.org/drawingml/2006/main" xmlns:r="http://schemas.openxmlformats.org/officeDocument/2006/relationships" xmlns:cx="http://schemas.microsoft.com/office/drawing/2014/chartex">
  <cx:chartData>
    <cx:data id="0">
      <cx:strDim type="cat">
        <cx:f dir="row">_xlchart.v1.60</cx:f>
      </cx:strDim>
      <cx:numDim type="val">
        <cx:f dir="row">_xlchart.v1.61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6379300-2B7C-4489-BDAC-D14186F56595}">
          <cx:dataId val="0"/>
          <cx:layoutPr>
            <cx:aggregation/>
          </cx:layoutPr>
          <cx:axisId val="1"/>
        </cx:series>
        <cx:series layoutId="paretoLine" ownerIdx="0" uniqueId="{DFB37B1B-3314-467F-BE9B-239C0699CA5D}">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2.xml><?xml version="1.0" encoding="utf-8"?>
<cx:chartSpace xmlns:a="http://schemas.openxmlformats.org/drawingml/2006/main" xmlns:r="http://schemas.openxmlformats.org/officeDocument/2006/relationships" xmlns:cx="http://schemas.microsoft.com/office/drawing/2014/chartex">
  <cx:chartData>
    <cx:data id="0">
      <cx:strDim type="cat">
        <cx:f dir="row">_xlchart.v1.62</cx:f>
      </cx:strDim>
      <cx:numDim type="val">
        <cx:f dir="row">_xlchart.v1.63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62637B8C-B6CE-4A8F-82F4-9857AE40D148}">
          <cx:dataId val="0"/>
          <cx:layoutPr>
            <cx:aggregation/>
          </cx:layoutPr>
          <cx:axisId val="1"/>
        </cx:series>
        <cx:series layoutId="paretoLine" ownerIdx="0" uniqueId="{8697DB45-46FC-4217-82FC-663913E79A59}">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3.xml><?xml version="1.0" encoding="utf-8"?>
<cx:chartSpace xmlns:a="http://schemas.openxmlformats.org/drawingml/2006/main" xmlns:r="http://schemas.openxmlformats.org/officeDocument/2006/relationships" xmlns:cx="http://schemas.microsoft.com/office/drawing/2014/chartex">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plotArea>
  </cx:chart>
</cx:chartSpace>
</file>

<file path=xl/charts/chartEx34.xml><?xml version="1.0" encoding="utf-8"?>
<cx:chartSpace xmlns:a="http://schemas.openxmlformats.org/drawingml/2006/main" xmlns:r="http://schemas.openxmlformats.org/officeDocument/2006/relationships" xmlns:cx="http://schemas.microsoft.com/office/drawing/2014/chartex">
  <cx:chartData>
    <cx:data id="0">
      <cx:strDim type="cat">
        <cx:f dir="row">_xlchart.v1.64</cx:f>
      </cx:strDim>
      <cx:numDim type="val">
        <cx:f dir="row">_xlchart.v1.65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FCC27851-38A8-4FF7-923F-F14E3061608D}">
          <cx:dataId val="0"/>
          <cx:layoutPr>
            <cx:aggregation/>
          </cx:layoutPr>
          <cx:axisId val="1"/>
        </cx:series>
        <cx:series layoutId="paretoLine" ownerIdx="0" uniqueId="{551C0E52-D09C-42DD-8730-2B9FFA44003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5.xml><?xml version="1.0" encoding="utf-8"?>
<cx:chartSpace xmlns:a="http://schemas.openxmlformats.org/drawingml/2006/main" xmlns:r="http://schemas.openxmlformats.org/officeDocument/2006/relationships" xmlns:cx="http://schemas.microsoft.com/office/drawing/2014/chartex">
  <cx:chartData>
    <cx:data id="0">
      <cx:strDim type="cat">
        <cx:f dir="row">_xlchart.v1.66</cx:f>
      </cx:strDim>
      <cx:numDim type="val">
        <cx:f dir="row">_xlchart.v1.67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6379300-2B7C-4489-BDAC-D14186F56595}">
          <cx:dataId val="0"/>
          <cx:layoutPr>
            <cx:aggregation/>
          </cx:layoutPr>
          <cx:axisId val="1"/>
        </cx:series>
        <cx:series layoutId="paretoLine" ownerIdx="0" uniqueId="{DFB37B1B-3314-467F-BE9B-239C0699CA5D}">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6.xml><?xml version="1.0" encoding="utf-8"?>
<cx:chartSpace xmlns:a="http://schemas.openxmlformats.org/drawingml/2006/main" xmlns:r="http://schemas.openxmlformats.org/officeDocument/2006/relationships" xmlns:cx="http://schemas.microsoft.com/office/drawing/2014/chartex">
  <cx:chartData>
    <cx:data id="0">
      <cx:strDim type="cat">
        <cx:f dir="row">_xlchart.v1.68</cx:f>
      </cx:strDim>
      <cx:numDim type="val">
        <cx:f dir="row">_xlchart.v1.69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62637B8C-B6CE-4A8F-82F4-9857AE40D148}">
          <cx:dataId val="0"/>
          <cx:layoutPr>
            <cx:aggregation/>
          </cx:layoutPr>
          <cx:axisId val="1"/>
        </cx:series>
        <cx:series layoutId="paretoLine" ownerIdx="0" uniqueId="{8697DB45-46FC-4217-82FC-663913E79A59}">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7.xml><?xml version="1.0" encoding="utf-8"?>
<cx:chartSpace xmlns:a="http://schemas.openxmlformats.org/drawingml/2006/main" xmlns:r="http://schemas.openxmlformats.org/officeDocument/2006/relationships" xmlns:cx="http://schemas.microsoft.com/office/drawing/2014/chartex">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plotArea>
  </cx:chart>
</cx:chartSpace>
</file>

<file path=xl/charts/chartEx38.xml><?xml version="1.0" encoding="utf-8"?>
<cx:chartSpace xmlns:a="http://schemas.openxmlformats.org/drawingml/2006/main" xmlns:r="http://schemas.openxmlformats.org/officeDocument/2006/relationships" xmlns:cx="http://schemas.microsoft.com/office/drawing/2014/chartex">
  <cx:chartData>
    <cx:data id="0">
      <cx:strDim type="cat">
        <cx:f dir="row">_xlchart.v1.70</cx:f>
      </cx:strDim>
      <cx:numDim type="val">
        <cx:f dir="row">_xlchart.v1.71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FCC27851-38A8-4FF7-923F-F14E3061608D}">
          <cx:dataId val="0"/>
          <cx:layoutPr>
            <cx:aggregation/>
          </cx:layoutPr>
          <cx:axisId val="1"/>
        </cx:series>
        <cx:series layoutId="paretoLine" ownerIdx="0" uniqueId="{551C0E52-D09C-42DD-8730-2B9FFA44003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9.xml><?xml version="1.0" encoding="utf-8"?>
<cx:chartSpace xmlns:a="http://schemas.openxmlformats.org/drawingml/2006/main" xmlns:r="http://schemas.openxmlformats.org/officeDocument/2006/relationships" xmlns:cx="http://schemas.microsoft.com/office/drawing/2014/chartex">
  <cx:chartData>
    <cx:data id="0">
      <cx:strDim type="cat">
        <cx:f dir="row">_xlchart.v1.72</cx:f>
      </cx:strDim>
      <cx:numDim type="val">
        <cx:f dir="row">_xlchart.v1.73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formatIdx="0">
          <cx:dataId val="0"/>
          <cx:layoutPr>
            <cx:aggregation/>
          </cx:layoutPr>
          <cx:axisId val="1"/>
        </cx:series>
        <cx:series layoutId="paretoLine" ownerIdx="0" uniqueId="{3CF35B69-33BB-4786-859F-25E13D2A7B0C}"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0.xml><?xml version="1.0" encoding="utf-8"?>
<cx:chartSpace xmlns:a="http://schemas.openxmlformats.org/drawingml/2006/main" xmlns:r="http://schemas.openxmlformats.org/officeDocument/2006/relationships" xmlns:cx="http://schemas.microsoft.com/office/drawing/2014/chartex">
  <cx:chartData>
    <cx:data id="0">
      <cx:strDim type="cat">
        <cx:f dir="row">_xlchart.v1.74</cx:f>
      </cx:strDim>
      <cx:numDim type="val">
        <cx:f dir="row">_xlchart.v1.75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formatIdx="0">
          <cx:dataId val="0"/>
          <cx:layoutPr>
            <cx:aggregation/>
          </cx:layoutPr>
          <cx:axisId val="1"/>
        </cx:series>
        <cx:series layoutId="paretoLine" ownerIdx="0" uniqueId="{870E94CC-E9EF-424C-AA3B-754A3CA44E81}"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1.xml><?xml version="1.0" encoding="utf-8"?>
<cx:chartSpace xmlns:a="http://schemas.openxmlformats.org/drawingml/2006/main" xmlns:r="http://schemas.openxmlformats.org/officeDocument/2006/relationships" xmlns:cx="http://schemas.microsoft.com/office/drawing/2014/chartex">
  <cx:chartData>
    <cx:data id="0">
      <cx:strDim type="cat">
        <cx:f dir="row">_xlchart.v1.76</cx:f>
      </cx:strDim>
      <cx:numDim type="val">
        <cx:f dir="row">_xlchart.v1.77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formatIdx="0">
          <cx:dataId val="0"/>
          <cx:layoutPr>
            <cx:aggregation/>
          </cx:layoutPr>
          <cx:axisId val="1"/>
        </cx:series>
        <cx:series layoutId="paretoLine" ownerIdx="0" uniqueId="{CDC5DB3C-2F7E-4EEF-91B6-1936AD69E938}"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2.xml><?xml version="1.0" encoding="utf-8"?>
<cx:chartSpace xmlns:a="http://schemas.openxmlformats.org/drawingml/2006/main" xmlns:r="http://schemas.openxmlformats.org/officeDocument/2006/relationships" xmlns:cx="http://schemas.microsoft.com/office/drawing/2014/chartex">
  <cx:chartData>
    <cx:data id="0">
      <cx:strDim type="cat">
        <cx:f dir="row">_xlchart.v1.78</cx:f>
      </cx:strDim>
      <cx:numDim type="val">
        <cx:f dir="row">_xlchart.v1.79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formatIdx="0">
          <cx:dataId val="0"/>
          <cx:layoutPr>
            <cx:aggregation/>
          </cx:layoutPr>
          <cx:axisId val="1"/>
        </cx:series>
        <cx:series layoutId="paretoLine" ownerIdx="0" uniqueId="{0714036E-C533-4745-8546-101934F0BBB7}"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3.xml><?xml version="1.0" encoding="utf-8"?>
<cx:chartSpace xmlns:a="http://schemas.openxmlformats.org/drawingml/2006/main" xmlns:r="http://schemas.openxmlformats.org/officeDocument/2006/relationships" xmlns:cx="http://schemas.microsoft.com/office/drawing/2014/chartex">
  <cx:chartData>
    <cx:data id="0">
      <cx:strDim type="cat">
        <cx:f dir="row">_xlchart.v1.80</cx:f>
      </cx:strDim>
      <cx:numDim type="val">
        <cx:f dir="row">_xlchart.v1.81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formatIdx="0">
          <cx:dataId val="0"/>
          <cx:layoutPr>
            <cx:aggregation/>
          </cx:layoutPr>
          <cx:axisId val="1"/>
        </cx:series>
        <cx:series layoutId="paretoLine" ownerIdx="0" uniqueId="{DE1303ED-BDC3-4798-956D-3EEEE8CCD44C}"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4.xml><?xml version="1.0" encoding="utf-8"?>
<cx:chartSpace xmlns:a="http://schemas.openxmlformats.org/drawingml/2006/main" xmlns:r="http://schemas.openxmlformats.org/officeDocument/2006/relationships" xmlns:cx="http://schemas.microsoft.com/office/drawing/2014/chartex">
  <cx:chartData>
    <cx:data id="0">
      <cx:strDim type="cat">
        <cx:f dir="row">_xlchart.v1.82</cx:f>
      </cx:strDim>
      <cx:numDim type="val">
        <cx:f dir="row">_xlchart.v1.83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formatIdx="0">
          <cx:dataId val="0"/>
          <cx:layoutPr>
            <cx:aggregation/>
          </cx:layoutPr>
          <cx:axisId val="1"/>
        </cx:series>
        <cx:series layoutId="paretoLine" ownerIdx="0" uniqueId="{AAB635AB-75A4-4569-B8C6-8D7C2624E615}"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5.xml><?xml version="1.0" encoding="utf-8"?>
<cx:chartSpace xmlns:a="http://schemas.openxmlformats.org/drawingml/2006/main" xmlns:r="http://schemas.openxmlformats.org/officeDocument/2006/relationships" xmlns:cx="http://schemas.microsoft.com/office/drawing/2014/chartex">
  <cx:chartData>
    <cx:data id="0">
      <cx:strDim type="cat">
        <cx:f dir="row">_xlchart.v1.84</cx:f>
      </cx:strDim>
      <cx:numDim type="val">
        <cx:f dir="row">_xlchart.v1.85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formatIdx="0">
          <cx:dataId val="0"/>
          <cx:layoutPr>
            <cx:aggregation/>
          </cx:layoutPr>
          <cx:axisId val="1"/>
        </cx:series>
        <cx:series layoutId="paretoLine" ownerIdx="0" uniqueId="{AAB635AB-75A4-4569-B8C6-8D7C2624E615}"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6.xml><?xml version="1.0" encoding="utf-8"?>
<cx:chartSpace xmlns:a="http://schemas.openxmlformats.org/drawingml/2006/main" xmlns:r="http://schemas.openxmlformats.org/officeDocument/2006/relationships" xmlns:cx="http://schemas.microsoft.com/office/drawing/2014/chartex">
  <cx:chartData>
    <cx:data id="0">
      <cx:strDim type="cat">
        <cx:f dir="row">_xlchart.v1.86</cx:f>
      </cx:strDim>
      <cx:numDim type="val">
        <cx:f dir="row">_xlchart.v1.87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7.xml><?xml version="1.0" encoding="utf-8"?>
<cx:chartSpace xmlns:a="http://schemas.openxmlformats.org/drawingml/2006/main" xmlns:r="http://schemas.openxmlformats.org/officeDocument/2006/relationships" xmlns:cx="http://schemas.microsoft.com/office/drawing/2014/chartex">
  <cx:chartData>
    <cx:data id="0">
      <cx:strDim type="cat">
        <cx:f dir="row">_xlchart.v1.88</cx:f>
      </cx:strDim>
      <cx:numDim type="val">
        <cx:f dir="row">_xlchart.v1.89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8.xml><?xml version="1.0" encoding="utf-8"?>
<cx:chartSpace xmlns:a="http://schemas.openxmlformats.org/drawingml/2006/main" xmlns:r="http://schemas.openxmlformats.org/officeDocument/2006/relationships" xmlns:cx="http://schemas.microsoft.com/office/drawing/2014/chartex">
  <cx:chartData>
    <cx:data id="0">
      <cx:strDim type="cat">
        <cx:f dir="row">_xlchart.v1.90</cx:f>
      </cx:strDim>
      <cx:numDim type="val">
        <cx:f dir="row">_xlchart.v1.91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9.xml><?xml version="1.0" encoding="utf-8"?>
<cx:chartSpace xmlns:a="http://schemas.openxmlformats.org/drawingml/2006/main" xmlns:r="http://schemas.openxmlformats.org/officeDocument/2006/relationships" xmlns:cx="http://schemas.microsoft.com/office/drawing/2014/chartex">
  <cx:chartData>
    <cx:data id="0">
      <cx:strDim type="cat">
        <cx:f dir="row">_xlchart.v1.92</cx:f>
      </cx:strDim>
      <cx:numDim type="val">
        <cx:f dir="row">_xlchart.v1.93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0.xml><?xml version="1.0" encoding="utf-8"?>
<cx:chartSpace xmlns:a="http://schemas.openxmlformats.org/drawingml/2006/main" xmlns:r="http://schemas.openxmlformats.org/officeDocument/2006/relationships" xmlns:cx="http://schemas.microsoft.com/office/drawing/2014/chartex">
  <cx:chartData>
    <cx:data id="0">
      <cx:strDim type="cat">
        <cx:f dir="row">_xlchart.v1.94</cx:f>
      </cx:strDim>
      <cx:numDim type="val">
        <cx:f dir="row">_xlchart.v1.95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1.xml><?xml version="1.0" encoding="utf-8"?>
<cx:chartSpace xmlns:a="http://schemas.openxmlformats.org/drawingml/2006/main" xmlns:r="http://schemas.openxmlformats.org/officeDocument/2006/relationships" xmlns:cx="http://schemas.microsoft.com/office/drawing/2014/chartex">
  <cx:chartData>
    <cx:data id="0">
      <cx:strDim type="cat">
        <cx:f dir="row">_xlchart.v1.96</cx:f>
      </cx:strDim>
      <cx:numDim type="val">
        <cx:f dir="row">_xlchart.v1.97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2.xml><?xml version="1.0" encoding="utf-8"?>
<cx:chartSpace xmlns:a="http://schemas.openxmlformats.org/drawingml/2006/main" xmlns:r="http://schemas.openxmlformats.org/officeDocument/2006/relationships" xmlns:cx="http://schemas.microsoft.com/office/drawing/2014/chartex">
  <cx:chartData>
    <cx:data id="0">
      <cx:strDim type="cat">
        <cx:f dir="row">_xlchart.v1.98</cx:f>
      </cx:strDim>
      <cx:numDim type="val">
        <cx:f dir="row">_xlchart.v1.99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3.xml><?xml version="1.0" encoding="utf-8"?>
<cx:chartSpace xmlns:a="http://schemas.openxmlformats.org/drawingml/2006/main" xmlns:r="http://schemas.openxmlformats.org/officeDocument/2006/relationships" xmlns:cx="http://schemas.microsoft.com/office/drawing/2014/chartex">
  <cx:chartData>
    <cx:data id="0">
      <cx:strDim type="cat">
        <cx:f dir="row">_xlchart.v1.100</cx:f>
      </cx:strDim>
      <cx:numDim type="val">
        <cx:f dir="row">_xlchart.v1.101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4.xml><?xml version="1.0" encoding="utf-8"?>
<cx:chartSpace xmlns:a="http://schemas.openxmlformats.org/drawingml/2006/main" xmlns:r="http://schemas.openxmlformats.org/officeDocument/2006/relationships" xmlns:cx="http://schemas.microsoft.com/office/drawing/2014/chartex">
  <cx:chartData>
    <cx:data id="0">
      <cx:strDim type="cat">
        <cx:f dir="row">_xlchart.v1.102</cx:f>
      </cx:strDim>
      <cx:numDim type="val">
        <cx:f dir="row">_xlchart.v1.103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5.xml><?xml version="1.0" encoding="utf-8"?>
<cx:chartSpace xmlns:a="http://schemas.openxmlformats.org/drawingml/2006/main" xmlns:r="http://schemas.openxmlformats.org/officeDocument/2006/relationships" xmlns:cx="http://schemas.microsoft.com/office/drawing/2014/chartex">
  <cx:chartData>
    <cx:data id="0">
      <cx:strDim type="cat">
        <cx:f dir="row">_xlchart.v1.104</cx:f>
      </cx:strDim>
      <cx:numDim type="val">
        <cx:f dir="row">_xlchart.v1.105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6.xml><?xml version="1.0" encoding="utf-8"?>
<cx:chartSpace xmlns:a="http://schemas.openxmlformats.org/drawingml/2006/main" xmlns:r="http://schemas.openxmlformats.org/officeDocument/2006/relationships" xmlns:cx="http://schemas.microsoft.com/office/drawing/2014/chartex">
  <cx:chartData>
    <cx:data id="0">
      <cx:strDim type="cat">
        <cx:f dir="row">_xlchart.v1.106</cx:f>
      </cx:strDim>
      <cx:numDim type="val">
        <cx:f dir="row">_xlchart.v1.107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7.xml><?xml version="1.0" encoding="utf-8"?>
<cx:chartSpace xmlns:a="http://schemas.openxmlformats.org/drawingml/2006/main" xmlns:r="http://schemas.openxmlformats.org/officeDocument/2006/relationships" xmlns:cx="http://schemas.microsoft.com/office/drawing/2014/chartex">
  <cx:chartData>
    <cx:data id="0">
      <cx:strDim type="cat">
        <cx:f dir="row">_xlchart.v1.108</cx:f>
      </cx:strDim>
      <cx:numDim type="val">
        <cx:f dir="row">_xlchart.v1.109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8.xml><?xml version="1.0" encoding="utf-8"?>
<cx:chartSpace xmlns:a="http://schemas.openxmlformats.org/drawingml/2006/main" xmlns:r="http://schemas.openxmlformats.org/officeDocument/2006/relationships" xmlns:cx="http://schemas.microsoft.com/office/drawing/2014/chartex">
  <cx:chartData>
    <cx:data id="0">
      <cx:strDim type="cat">
        <cx:f dir="row">_xlchart.v1.110</cx:f>
      </cx:strDim>
      <cx:numDim type="val">
        <cx:f dir="row">_xlchart.v1.111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max="1"/>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9.xml><?xml version="1.0" encoding="utf-8"?>
<cx:chartSpace xmlns:a="http://schemas.openxmlformats.org/drawingml/2006/main" xmlns:r="http://schemas.openxmlformats.org/officeDocument/2006/relationships" xmlns:cx="http://schemas.microsoft.com/office/drawing/2014/chartex">
  <cx:chartData>
    <cx:data id="0">
      <cx:strDim type="cat">
        <cx:f dir="row">_xlchart.v1.112</cx:f>
      </cx:strDim>
      <cx:numDim type="val">
        <cx:f dir="row">_xlchart.v1.113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0.xml><?xml version="1.0" encoding="utf-8"?>
<cx:chartSpace xmlns:a="http://schemas.openxmlformats.org/drawingml/2006/main" xmlns:r="http://schemas.openxmlformats.org/officeDocument/2006/relationships" xmlns:cx="http://schemas.microsoft.com/office/drawing/2014/chartex">
  <cx:chartData>
    <cx:data id="0">
      <cx:strDim type="cat">
        <cx:f dir="row">_xlchart.v1.114</cx:f>
      </cx:strDim>
      <cx:numDim type="val">
        <cx:f dir="row">_xlchart.v1.115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1.xml><?xml version="1.0" encoding="utf-8"?>
<cx:chartSpace xmlns:a="http://schemas.openxmlformats.org/drawingml/2006/main" xmlns:r="http://schemas.openxmlformats.org/officeDocument/2006/relationships" xmlns:cx="http://schemas.microsoft.com/office/drawing/2014/chartex">
  <cx:chartData>
    <cx:data id="0">
      <cx:strDim type="cat">
        <cx:f dir="row">_xlchart.v1.116</cx:f>
      </cx:strDim>
      <cx:numDim type="val">
        <cx:f dir="row">_xlchart.v1.117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2.xml><?xml version="1.0" encoding="utf-8"?>
<cx:chartSpace xmlns:a="http://schemas.openxmlformats.org/drawingml/2006/main" xmlns:r="http://schemas.openxmlformats.org/officeDocument/2006/relationships" xmlns:cx="http://schemas.microsoft.com/office/drawing/2014/chartex">
  <cx:chartData>
    <cx:data id="0">
      <cx:strDim type="cat">
        <cx:f dir="row">_xlchart.v1.118</cx:f>
      </cx:strDim>
      <cx:numDim type="val">
        <cx:f dir="row">_xlchart.v1.119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3.xml><?xml version="1.0" encoding="utf-8"?>
<cx:chartSpace xmlns:a="http://schemas.openxmlformats.org/drawingml/2006/main" xmlns:r="http://schemas.openxmlformats.org/officeDocument/2006/relationships" xmlns:cx="http://schemas.microsoft.com/office/drawing/2014/chartex">
  <cx:chartData>
    <cx:data id="0">
      <cx:strDim type="cat">
        <cx:f dir="row">_xlchart.v1.120</cx:f>
      </cx:strDim>
      <cx:numDim type="val">
        <cx:f dir="row">_xlchart.v1.121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4.xml><?xml version="1.0" encoding="utf-8"?>
<cx:chartSpace xmlns:a="http://schemas.openxmlformats.org/drawingml/2006/main" xmlns:r="http://schemas.openxmlformats.org/officeDocument/2006/relationships" xmlns:cx="http://schemas.microsoft.com/office/drawing/2014/chartex">
  <cx:chartData>
    <cx:data id="0">
      <cx:strDim type="cat">
        <cx:f dir="row">_xlchart.v1.122</cx:f>
      </cx:strDim>
      <cx:numDim type="val">
        <cx:f dir="row">_xlchart.v1.123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5.xml><?xml version="1.0" encoding="utf-8"?>
<cx:chartSpace xmlns:a="http://schemas.openxmlformats.org/drawingml/2006/main" xmlns:r="http://schemas.openxmlformats.org/officeDocument/2006/relationships" xmlns:cx="http://schemas.microsoft.com/office/drawing/2014/chartex">
  <cx:chartData>
    <cx:data id="0">
      <cx:strDim type="cat">
        <cx:f dir="row">_xlchart.v1.124</cx:f>
      </cx:strDim>
      <cx:numDim type="val">
        <cx:f dir="row">_xlchart.v1.125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6.xml><?xml version="1.0" encoding="utf-8"?>
<cx:chartSpace xmlns:a="http://schemas.openxmlformats.org/drawingml/2006/main" xmlns:r="http://schemas.openxmlformats.org/officeDocument/2006/relationships" xmlns:cx="http://schemas.microsoft.com/office/drawing/2014/chartex">
  <cx:chartData>
    <cx:data id="0">
      <cx:strDim type="cat">
        <cx:f dir="row">_xlchart.v1.126</cx:f>
      </cx:strDim>
      <cx:numDim type="val">
        <cx:f dir="row">_xlchart.v1.127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7.xml><?xml version="1.0" encoding="utf-8"?>
<cx:chartSpace xmlns:a="http://schemas.openxmlformats.org/drawingml/2006/main" xmlns:r="http://schemas.openxmlformats.org/officeDocument/2006/relationships" xmlns:cx="http://schemas.microsoft.com/office/drawing/2014/chartex">
  <cx:chartData>
    <cx:data id="0">
      <cx:strDim type="cat">
        <cx:f dir="row">_xlchart.v1.128</cx:f>
      </cx:strDim>
      <cx:numDim type="val">
        <cx:f dir="row">_xlchart.v1.129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8.xml><?xml version="1.0" encoding="utf-8"?>
<cx:chartSpace xmlns:a="http://schemas.openxmlformats.org/drawingml/2006/main" xmlns:r="http://schemas.openxmlformats.org/officeDocument/2006/relationships" xmlns:cx="http://schemas.microsoft.com/office/drawing/2014/chartex">
  <cx:chartData>
    <cx:data id="0">
      <cx:strDim type="cat">
        <cx:f dir="row">_xlchart.v1.130</cx:f>
      </cx:strDim>
      <cx:numDim type="val">
        <cx:f dir="row">_xlchart.v1.131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9.xml><?xml version="1.0" encoding="utf-8"?>
<cx:chartSpace xmlns:a="http://schemas.openxmlformats.org/drawingml/2006/main" xmlns:r="http://schemas.openxmlformats.org/officeDocument/2006/relationships" xmlns:cx="http://schemas.microsoft.com/office/drawing/2014/chartex">
  <cx:chartData>
    <cx:data id="0">
      <cx:strDim type="cat">
        <cx:f dir="row">_xlchart.v1.132</cx:f>
      </cx:strDim>
      <cx:numDim type="val">
        <cx:f dir="row">_xlchart.v1.133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0.xml><?xml version="1.0" encoding="utf-8"?>
<cx:chartSpace xmlns:a="http://schemas.openxmlformats.org/drawingml/2006/main" xmlns:r="http://schemas.openxmlformats.org/officeDocument/2006/relationships" xmlns:cx="http://schemas.microsoft.com/office/drawing/2014/chartex">
  <cx:chartData>
    <cx:data id="0">
      <cx:strDim type="cat">
        <cx:f dir="row">_xlchart.v1.134</cx:f>
      </cx:strDim>
      <cx:numDim type="val">
        <cx:f dir="row">_xlchart.v1.135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1.xml><?xml version="1.0" encoding="utf-8"?>
<cx:chartSpace xmlns:a="http://schemas.openxmlformats.org/drawingml/2006/main" xmlns:r="http://schemas.openxmlformats.org/officeDocument/2006/relationships" xmlns:cx="http://schemas.microsoft.com/office/drawing/2014/chartex">
  <cx:chartData>
    <cx:data id="0">
      <cx:strDim type="cat">
        <cx:f dir="row">_xlchart.v1.136</cx:f>
      </cx:strDim>
      <cx:numDim type="val">
        <cx:f dir="row">_xlchart.v1.137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2.xml><?xml version="1.0" encoding="utf-8"?>
<cx:chartSpace xmlns:a="http://schemas.openxmlformats.org/drawingml/2006/main" xmlns:r="http://schemas.openxmlformats.org/officeDocument/2006/relationships" xmlns:cx="http://schemas.microsoft.com/office/drawing/2014/chartex">
  <cx:chartData>
    <cx:data id="0">
      <cx:strDim type="cat">
        <cx:f dir="row">_xlchart.v1.138</cx:f>
      </cx:strDim>
      <cx:numDim type="val">
        <cx:f dir="row">_xlchart.v1.139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3.xml><?xml version="1.0" encoding="utf-8"?>
<cx:chartSpace xmlns:a="http://schemas.openxmlformats.org/drawingml/2006/main" xmlns:r="http://schemas.openxmlformats.org/officeDocument/2006/relationships" xmlns:cx="http://schemas.microsoft.com/office/drawing/2014/chartex">
  <cx:chartData>
    <cx:data id="0">
      <cx:strDim type="cat">
        <cx:f dir="row">_xlchart.v1.140</cx:f>
      </cx:strDim>
      <cx:numDim type="val">
        <cx:f dir="row">_xlchart.v1.141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4.xml><?xml version="1.0" encoding="utf-8"?>
<cx:chartSpace xmlns:a="http://schemas.openxmlformats.org/drawingml/2006/main" xmlns:r="http://schemas.openxmlformats.org/officeDocument/2006/relationships" xmlns:cx="http://schemas.microsoft.com/office/drawing/2014/chartex">
  <cx:chartData>
    <cx:data id="0">
      <cx:strDim type="cat">
        <cx:f dir="row">_xlchart.v1.142</cx:f>
      </cx:strDim>
      <cx:numDim type="val">
        <cx:f dir="row">_xlchart.v1.143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5.xml><?xml version="1.0" encoding="utf-8"?>
<cx:chartSpace xmlns:a="http://schemas.openxmlformats.org/drawingml/2006/main" xmlns:r="http://schemas.openxmlformats.org/officeDocument/2006/relationships" xmlns:cx="http://schemas.microsoft.com/office/drawing/2014/chartex">
  <cx:chartData>
    <cx:data id="0">
      <cx:strDim type="cat">
        <cx:f dir="row">_xlchart.v1.144</cx:f>
      </cx:strDim>
      <cx:numDim type="val">
        <cx:f dir="row">_xlchart.v1.145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6.xml><?xml version="1.0" encoding="utf-8"?>
<cx:chartSpace xmlns:a="http://schemas.openxmlformats.org/drawingml/2006/main" xmlns:r="http://schemas.openxmlformats.org/officeDocument/2006/relationships" xmlns:cx="http://schemas.microsoft.com/office/drawing/2014/chartex">
  <cx:chartData>
    <cx:data id="0">
      <cx:strDim type="cat">
        <cx:f dir="row">_xlchart.v1.147</cx:f>
      </cx:strDim>
      <cx:numDim type="val">
        <cx:f dir="row">_xlchart.v1.148</cx:f>
      </cx:numDim>
    </cx:data>
  </cx:chartData>
  <cx:chart>
    <cx:title pos="t" align="ctr" overlay="0">
      <cx:tx>
        <cx:txData>
          <cx:v>Chart Title</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Chart Title</a:t>
          </a:r>
        </a:p>
      </cx:txPr>
    </cx:title>
    <cx:plotArea>
      <cx:plotAreaRegion>
        <cx:series layoutId="clusteredColumn" uniqueId="{D47C074B-ABD0-41EC-AAA2-3B9A0026D4FA}">
          <cx:tx>
            <cx:txData>
              <cx:f>_xlchart.v1.146</cx:f>
              <cx:v>OIT Gap to target </cx:v>
            </cx:txData>
          </cx:tx>
          <cx:dataId val="0"/>
          <cx:layoutPr>
            <cx:aggregation/>
          </cx:layoutPr>
          <cx:axisId val="1"/>
        </cx:series>
        <cx:series layoutId="paretoLine" ownerIdx="0" uniqueId="{30CC5D2C-4BC8-40BE-8CFA-7EBA2DF6537C}">
          <cx:axisId val="2"/>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7.xml><?xml version="1.0" encoding="utf-8"?>
<cx:chartSpace xmlns:a="http://schemas.openxmlformats.org/drawingml/2006/main" xmlns:r="http://schemas.openxmlformats.org/officeDocument/2006/relationships" xmlns:cx="http://schemas.microsoft.com/office/drawing/2014/chartex">
  <cx:chartData>
    <cx:data id="0">
      <cx:strDim type="cat">
        <cx:f dir="row">_xlchart.v1.150</cx:f>
      </cx:strDim>
      <cx:numDim type="val">
        <cx:f dir="row">_xlchart.v1.151</cx:f>
      </cx:numDim>
    </cx:data>
  </cx:chartData>
  <cx:chart>
    <cx:title pos="t" align="ctr" overlay="0">
      <cx:tx>
        <cx:txData>
          <cx:v>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 </a:t>
          </a:r>
        </a:p>
      </cx:txPr>
    </cx:title>
    <cx:plotArea>
      <cx:plotAreaRegion>
        <cx:series layoutId="clusteredColumn" uniqueId="{1D738DAC-8CEB-40F2-925F-418B2398432E}">
          <cx:tx>
            <cx:txData>
              <cx:f>_xlchart.v1.149</cx:f>
              <cx:v>Gap to target </cx:v>
            </cx:txData>
          </cx:tx>
          <cx:dataId val="0"/>
          <cx:layoutPr>
            <cx:aggregation/>
          </cx:layoutPr>
          <cx:axisId val="1"/>
        </cx:series>
        <cx:series layoutId="paretoLine" ownerIdx="0" uniqueId="{56A3A868-AF9D-4251-8F87-51D98F9FFD75}">
          <cx:axisId val="2"/>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microsoft.com/office/2014/relationships/chartEx" Target="../charts/chartEx1.xml"/><Relationship Id="rId13" Type="http://schemas.microsoft.com/office/2014/relationships/chartEx" Target="../charts/chartEx6.xml"/><Relationship Id="rId3" Type="http://schemas.openxmlformats.org/officeDocument/2006/relationships/image" Target="../media/image4.png"/><Relationship Id="rId7" Type="http://schemas.openxmlformats.org/officeDocument/2006/relationships/chart" Target="../charts/chart2.xml"/><Relationship Id="rId12" Type="http://schemas.microsoft.com/office/2014/relationships/chartEx" Target="../charts/chartEx5.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1.xml"/><Relationship Id="rId11" Type="http://schemas.microsoft.com/office/2014/relationships/chartEx" Target="../charts/chartEx4.xml"/><Relationship Id="rId5" Type="http://schemas.openxmlformats.org/officeDocument/2006/relationships/image" Target="../media/image6.png"/><Relationship Id="rId10" Type="http://schemas.microsoft.com/office/2014/relationships/chartEx" Target="../charts/chartEx3.xml"/><Relationship Id="rId4" Type="http://schemas.openxmlformats.org/officeDocument/2006/relationships/image" Target="../media/image5.png"/><Relationship Id="rId9" Type="http://schemas.microsoft.com/office/2014/relationships/chartEx" Target="../charts/chartEx2.xml"/><Relationship Id="rId1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13" Type="http://schemas.microsoft.com/office/2014/relationships/chartEx" Target="../charts/chartEx11.xml"/><Relationship Id="rId3" Type="http://schemas.openxmlformats.org/officeDocument/2006/relationships/image" Target="../media/image4.png"/><Relationship Id="rId7" Type="http://schemas.openxmlformats.org/officeDocument/2006/relationships/chart" Target="../charts/chart5.xml"/><Relationship Id="rId12" Type="http://schemas.microsoft.com/office/2014/relationships/chartEx" Target="../charts/chartEx10.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4.xml"/><Relationship Id="rId11" Type="http://schemas.microsoft.com/office/2014/relationships/chartEx" Target="../charts/chartEx9.xml"/><Relationship Id="rId5" Type="http://schemas.openxmlformats.org/officeDocument/2006/relationships/image" Target="../media/image6.png"/><Relationship Id="rId15" Type="http://schemas.openxmlformats.org/officeDocument/2006/relationships/chart" Target="../charts/chart7.xml"/><Relationship Id="rId10" Type="http://schemas.microsoft.com/office/2014/relationships/chartEx" Target="../charts/chartEx8.xml"/><Relationship Id="rId4" Type="http://schemas.openxmlformats.org/officeDocument/2006/relationships/image" Target="../media/image5.png"/><Relationship Id="rId9" Type="http://schemas.microsoft.com/office/2014/relationships/chartEx" Target="../charts/chartEx7.xml"/><Relationship Id="rId14" Type="http://schemas.microsoft.com/office/2014/relationships/chartEx" Target="../charts/chartEx1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0.xml"/><Relationship Id="rId13" Type="http://schemas.microsoft.com/office/2014/relationships/chartEx" Target="../charts/chartEx14.xml"/><Relationship Id="rId18" Type="http://schemas.openxmlformats.org/officeDocument/2006/relationships/image" Target="../media/image7.png"/><Relationship Id="rId3" Type="http://schemas.openxmlformats.org/officeDocument/2006/relationships/image" Target="../media/image4.png"/><Relationship Id="rId7" Type="http://schemas.openxmlformats.org/officeDocument/2006/relationships/chart" Target="../charts/chart9.xml"/><Relationship Id="rId12" Type="http://schemas.microsoft.com/office/2014/relationships/chartEx" Target="../charts/chartEx13.xml"/><Relationship Id="rId17" Type="http://schemas.microsoft.com/office/2014/relationships/chartEx" Target="../charts/chartEx18.xml"/><Relationship Id="rId2" Type="http://schemas.openxmlformats.org/officeDocument/2006/relationships/image" Target="../media/image3.png"/><Relationship Id="rId16" Type="http://schemas.microsoft.com/office/2014/relationships/chartEx" Target="../charts/chartEx17.xml"/><Relationship Id="rId1" Type="http://schemas.openxmlformats.org/officeDocument/2006/relationships/image" Target="../media/image2.png"/><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image" Target="../media/image6.png"/><Relationship Id="rId15" Type="http://schemas.microsoft.com/office/2014/relationships/chartEx" Target="../charts/chartEx16.xml"/><Relationship Id="rId10" Type="http://schemas.openxmlformats.org/officeDocument/2006/relationships/chart" Target="../charts/chart12.xml"/><Relationship Id="rId19" Type="http://schemas.openxmlformats.org/officeDocument/2006/relationships/image" Target="../media/image8.png"/><Relationship Id="rId4" Type="http://schemas.openxmlformats.org/officeDocument/2006/relationships/image" Target="../media/image5.png"/><Relationship Id="rId9" Type="http://schemas.openxmlformats.org/officeDocument/2006/relationships/chart" Target="../charts/chart11.xml"/><Relationship Id="rId14" Type="http://schemas.microsoft.com/office/2014/relationships/chartEx" Target="../charts/chartEx15.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6.xml"/><Relationship Id="rId13" Type="http://schemas.microsoft.com/office/2014/relationships/chartEx" Target="../charts/chartEx22.xml"/><Relationship Id="rId3" Type="http://schemas.openxmlformats.org/officeDocument/2006/relationships/image" Target="../media/image4.png"/><Relationship Id="rId7" Type="http://schemas.openxmlformats.org/officeDocument/2006/relationships/chart" Target="../charts/chart15.xml"/><Relationship Id="rId12" Type="http://schemas.microsoft.com/office/2014/relationships/chartEx" Target="../charts/chartEx21.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14.xml"/><Relationship Id="rId11" Type="http://schemas.microsoft.com/office/2014/relationships/chartEx" Target="../charts/chartEx20.xml"/><Relationship Id="rId5" Type="http://schemas.openxmlformats.org/officeDocument/2006/relationships/image" Target="../media/image6.png"/><Relationship Id="rId15" Type="http://schemas.microsoft.com/office/2014/relationships/chartEx" Target="../charts/chartEx24.xml"/><Relationship Id="rId10" Type="http://schemas.microsoft.com/office/2014/relationships/chartEx" Target="../charts/chartEx19.xml"/><Relationship Id="rId4" Type="http://schemas.openxmlformats.org/officeDocument/2006/relationships/image" Target="../media/image5.png"/><Relationship Id="rId9" Type="http://schemas.openxmlformats.org/officeDocument/2006/relationships/chart" Target="../charts/chart17.xml"/><Relationship Id="rId14" Type="http://schemas.microsoft.com/office/2014/relationships/chartEx" Target="../charts/chartEx23.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0.xml"/><Relationship Id="rId13" Type="http://schemas.microsoft.com/office/2014/relationships/chartEx" Target="../charts/chartEx28.xml"/><Relationship Id="rId3" Type="http://schemas.openxmlformats.org/officeDocument/2006/relationships/image" Target="../media/image4.png"/><Relationship Id="rId7" Type="http://schemas.openxmlformats.org/officeDocument/2006/relationships/chart" Target="../charts/chart19.xml"/><Relationship Id="rId12" Type="http://schemas.microsoft.com/office/2014/relationships/chartEx" Target="../charts/chartEx27.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18.xml"/><Relationship Id="rId11" Type="http://schemas.microsoft.com/office/2014/relationships/chartEx" Target="../charts/chartEx26.xml"/><Relationship Id="rId5" Type="http://schemas.openxmlformats.org/officeDocument/2006/relationships/image" Target="../media/image6.png"/><Relationship Id="rId15" Type="http://schemas.microsoft.com/office/2014/relationships/chartEx" Target="../charts/chartEx30.xml"/><Relationship Id="rId10" Type="http://schemas.microsoft.com/office/2014/relationships/chartEx" Target="../charts/chartEx25.xml"/><Relationship Id="rId4" Type="http://schemas.openxmlformats.org/officeDocument/2006/relationships/image" Target="../media/image5.png"/><Relationship Id="rId9" Type="http://schemas.openxmlformats.org/officeDocument/2006/relationships/chart" Target="../charts/chart21.xml"/><Relationship Id="rId14" Type="http://schemas.microsoft.com/office/2014/relationships/chartEx" Target="../charts/chartEx29.xml"/></Relationships>
</file>

<file path=xl/drawings/_rels/drawing7.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24.xml"/><Relationship Id="rId7" Type="http://schemas.openxmlformats.org/officeDocument/2006/relationships/image" Target="../media/image5.png"/><Relationship Id="rId12" Type="http://schemas.microsoft.com/office/2014/relationships/chartEx" Target="../charts/chartEx34.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image" Target="../media/image4.png"/><Relationship Id="rId11" Type="http://schemas.microsoft.com/office/2014/relationships/chartEx" Target="../charts/chartEx33.xml"/><Relationship Id="rId5" Type="http://schemas.openxmlformats.org/officeDocument/2006/relationships/image" Target="../media/image3.png"/><Relationship Id="rId10" Type="http://schemas.microsoft.com/office/2014/relationships/chartEx" Target="../charts/chartEx32.xml"/><Relationship Id="rId4" Type="http://schemas.openxmlformats.org/officeDocument/2006/relationships/image" Target="../media/image2.png"/><Relationship Id="rId9" Type="http://schemas.microsoft.com/office/2014/relationships/chartEx" Target="../charts/chartEx31.xml"/></Relationships>
</file>

<file path=xl/drawings/_rels/drawing8.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27.xml"/><Relationship Id="rId7" Type="http://schemas.openxmlformats.org/officeDocument/2006/relationships/image" Target="../media/image5.png"/><Relationship Id="rId12" Type="http://schemas.microsoft.com/office/2014/relationships/chartEx" Target="../charts/chartEx38.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image" Target="../media/image4.png"/><Relationship Id="rId11" Type="http://schemas.microsoft.com/office/2014/relationships/chartEx" Target="../charts/chartEx37.xml"/><Relationship Id="rId5" Type="http://schemas.openxmlformats.org/officeDocument/2006/relationships/image" Target="../media/image3.png"/><Relationship Id="rId10" Type="http://schemas.microsoft.com/office/2014/relationships/chartEx" Target="../charts/chartEx36.xml"/><Relationship Id="rId4" Type="http://schemas.openxmlformats.org/officeDocument/2006/relationships/image" Target="../media/image2.png"/><Relationship Id="rId9" Type="http://schemas.microsoft.com/office/2014/relationships/chartEx" Target="../charts/chartEx35.xml"/></Relationships>
</file>

<file path=xl/drawings/_rels/drawing9.xml.rels><?xml version="1.0" encoding="UTF-8" standalone="yes"?>
<Relationships xmlns="http://schemas.openxmlformats.org/package/2006/relationships"><Relationship Id="rId8" Type="http://schemas.openxmlformats.org/officeDocument/2006/relationships/chart" Target="../charts/chart30.xml"/><Relationship Id="rId13" Type="http://schemas.microsoft.com/office/2014/relationships/chartEx" Target="../charts/chartEx40.xml"/><Relationship Id="rId18" Type="http://schemas.openxmlformats.org/officeDocument/2006/relationships/chart" Target="../charts/chart34.xml"/><Relationship Id="rId3" Type="http://schemas.openxmlformats.org/officeDocument/2006/relationships/image" Target="../media/image4.png"/><Relationship Id="rId7" Type="http://schemas.openxmlformats.org/officeDocument/2006/relationships/chart" Target="../charts/chart29.xml"/><Relationship Id="rId12" Type="http://schemas.microsoft.com/office/2014/relationships/chartEx" Target="../charts/chartEx39.xml"/><Relationship Id="rId17" Type="http://schemas.microsoft.com/office/2014/relationships/chartEx" Target="../charts/chartEx44.xml"/><Relationship Id="rId2" Type="http://schemas.openxmlformats.org/officeDocument/2006/relationships/image" Target="../media/image3.png"/><Relationship Id="rId16" Type="http://schemas.microsoft.com/office/2014/relationships/chartEx" Target="../charts/chartEx43.xml"/><Relationship Id="rId20" Type="http://schemas.openxmlformats.org/officeDocument/2006/relationships/image" Target="../media/image9.png"/><Relationship Id="rId1" Type="http://schemas.openxmlformats.org/officeDocument/2006/relationships/image" Target="../media/image2.png"/><Relationship Id="rId6" Type="http://schemas.openxmlformats.org/officeDocument/2006/relationships/chart" Target="../charts/chart28.xml"/><Relationship Id="rId11" Type="http://schemas.openxmlformats.org/officeDocument/2006/relationships/chart" Target="../charts/chart33.xml"/><Relationship Id="rId5" Type="http://schemas.openxmlformats.org/officeDocument/2006/relationships/image" Target="../media/image6.png"/><Relationship Id="rId15" Type="http://schemas.microsoft.com/office/2014/relationships/chartEx" Target="../charts/chartEx42.xml"/><Relationship Id="rId10" Type="http://schemas.openxmlformats.org/officeDocument/2006/relationships/chart" Target="../charts/chart32.xml"/><Relationship Id="rId19" Type="http://schemas.microsoft.com/office/2014/relationships/chartEx" Target="../charts/chartEx45.xml"/><Relationship Id="rId4" Type="http://schemas.openxmlformats.org/officeDocument/2006/relationships/image" Target="../media/image5.png"/><Relationship Id="rId9" Type="http://schemas.openxmlformats.org/officeDocument/2006/relationships/chart" Target="../charts/chart31.xml"/><Relationship Id="rId14" Type="http://schemas.microsoft.com/office/2014/relationships/chartEx" Target="../charts/chartEx41.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37.xml"/><Relationship Id="rId13" Type="http://schemas.microsoft.com/office/2014/relationships/chartEx" Target="../charts/chartEx48.xml"/><Relationship Id="rId3" Type="http://schemas.openxmlformats.org/officeDocument/2006/relationships/image" Target="../media/image4.png"/><Relationship Id="rId7" Type="http://schemas.openxmlformats.org/officeDocument/2006/relationships/chart" Target="../charts/chart36.xml"/><Relationship Id="rId12" Type="http://schemas.microsoft.com/office/2014/relationships/chartEx" Target="../charts/chartEx47.xml"/><Relationship Id="rId2" Type="http://schemas.openxmlformats.org/officeDocument/2006/relationships/image" Target="../media/image3.png"/><Relationship Id="rId16" Type="http://schemas.microsoft.com/office/2014/relationships/chartEx" Target="../charts/chartEx51.xml"/><Relationship Id="rId1" Type="http://schemas.openxmlformats.org/officeDocument/2006/relationships/image" Target="../media/image2.png"/><Relationship Id="rId6" Type="http://schemas.openxmlformats.org/officeDocument/2006/relationships/chart" Target="../charts/chart35.xml"/><Relationship Id="rId11" Type="http://schemas.microsoft.com/office/2014/relationships/chartEx" Target="../charts/chartEx46.xml"/><Relationship Id="rId5" Type="http://schemas.openxmlformats.org/officeDocument/2006/relationships/image" Target="../media/image6.png"/><Relationship Id="rId15" Type="http://schemas.microsoft.com/office/2014/relationships/chartEx" Target="../charts/chartEx50.xml"/><Relationship Id="rId10" Type="http://schemas.openxmlformats.org/officeDocument/2006/relationships/chart" Target="../charts/chart39.xml"/><Relationship Id="rId4" Type="http://schemas.openxmlformats.org/officeDocument/2006/relationships/image" Target="../media/image5.png"/><Relationship Id="rId9" Type="http://schemas.openxmlformats.org/officeDocument/2006/relationships/chart" Target="../charts/chart38.xml"/><Relationship Id="rId14" Type="http://schemas.microsoft.com/office/2014/relationships/chartEx" Target="../charts/chartEx49.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42.xml"/><Relationship Id="rId13" Type="http://schemas.microsoft.com/office/2014/relationships/chartEx" Target="../charts/chartEx54.xml"/><Relationship Id="rId18" Type="http://schemas.openxmlformats.org/officeDocument/2006/relationships/image" Target="../media/image10.png"/><Relationship Id="rId3" Type="http://schemas.openxmlformats.org/officeDocument/2006/relationships/image" Target="../media/image4.png"/><Relationship Id="rId7" Type="http://schemas.openxmlformats.org/officeDocument/2006/relationships/chart" Target="../charts/chart41.xml"/><Relationship Id="rId12" Type="http://schemas.microsoft.com/office/2014/relationships/chartEx" Target="../charts/chartEx53.xml"/><Relationship Id="rId17" Type="http://schemas.openxmlformats.org/officeDocument/2006/relationships/chart" Target="../charts/chart45.xml"/><Relationship Id="rId2" Type="http://schemas.openxmlformats.org/officeDocument/2006/relationships/image" Target="../media/image3.png"/><Relationship Id="rId16" Type="http://schemas.microsoft.com/office/2014/relationships/chartEx" Target="../charts/chartEx57.xml"/><Relationship Id="rId1" Type="http://schemas.openxmlformats.org/officeDocument/2006/relationships/image" Target="../media/image2.png"/><Relationship Id="rId6" Type="http://schemas.openxmlformats.org/officeDocument/2006/relationships/chart" Target="../charts/chart40.xml"/><Relationship Id="rId11" Type="http://schemas.microsoft.com/office/2014/relationships/chartEx" Target="../charts/chartEx52.xml"/><Relationship Id="rId5" Type="http://schemas.openxmlformats.org/officeDocument/2006/relationships/image" Target="../media/image6.png"/><Relationship Id="rId15" Type="http://schemas.microsoft.com/office/2014/relationships/chartEx" Target="../charts/chartEx56.xml"/><Relationship Id="rId10" Type="http://schemas.openxmlformats.org/officeDocument/2006/relationships/chart" Target="../charts/chart44.xml"/><Relationship Id="rId4" Type="http://schemas.openxmlformats.org/officeDocument/2006/relationships/image" Target="../media/image5.png"/><Relationship Id="rId9" Type="http://schemas.openxmlformats.org/officeDocument/2006/relationships/chart" Target="../charts/chart43.xml"/><Relationship Id="rId14" Type="http://schemas.microsoft.com/office/2014/relationships/chartEx" Target="../charts/chartEx55.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48.xml"/><Relationship Id="rId13" Type="http://schemas.microsoft.com/office/2014/relationships/chartEx" Target="../charts/chartEx59.xml"/><Relationship Id="rId3" Type="http://schemas.openxmlformats.org/officeDocument/2006/relationships/image" Target="../media/image4.png"/><Relationship Id="rId7" Type="http://schemas.openxmlformats.org/officeDocument/2006/relationships/chart" Target="../charts/chart47.xml"/><Relationship Id="rId12" Type="http://schemas.microsoft.com/office/2014/relationships/chartEx" Target="../charts/chartEx58.xml"/><Relationship Id="rId17" Type="http://schemas.microsoft.com/office/2014/relationships/chartEx" Target="../charts/chartEx63.xml"/><Relationship Id="rId2" Type="http://schemas.openxmlformats.org/officeDocument/2006/relationships/image" Target="../media/image3.png"/><Relationship Id="rId16" Type="http://schemas.microsoft.com/office/2014/relationships/chartEx" Target="../charts/chartEx62.xml"/><Relationship Id="rId1" Type="http://schemas.openxmlformats.org/officeDocument/2006/relationships/image" Target="../media/image2.png"/><Relationship Id="rId6" Type="http://schemas.openxmlformats.org/officeDocument/2006/relationships/chart" Target="../charts/chart46.xml"/><Relationship Id="rId11" Type="http://schemas.openxmlformats.org/officeDocument/2006/relationships/chart" Target="../charts/chart51.xml"/><Relationship Id="rId5" Type="http://schemas.openxmlformats.org/officeDocument/2006/relationships/image" Target="../media/image6.png"/><Relationship Id="rId15" Type="http://schemas.microsoft.com/office/2014/relationships/chartEx" Target="../charts/chartEx61.xml"/><Relationship Id="rId10" Type="http://schemas.openxmlformats.org/officeDocument/2006/relationships/chart" Target="../charts/chart50.xml"/><Relationship Id="rId4" Type="http://schemas.openxmlformats.org/officeDocument/2006/relationships/image" Target="../media/image5.png"/><Relationship Id="rId9" Type="http://schemas.openxmlformats.org/officeDocument/2006/relationships/chart" Target="../charts/chart49.xml"/><Relationship Id="rId14" Type="http://schemas.microsoft.com/office/2014/relationships/chartEx" Target="../charts/chartEx60.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54.xml"/><Relationship Id="rId13" Type="http://schemas.microsoft.com/office/2014/relationships/chartEx" Target="../charts/chartEx65.xml"/><Relationship Id="rId3" Type="http://schemas.openxmlformats.org/officeDocument/2006/relationships/image" Target="../media/image4.png"/><Relationship Id="rId7" Type="http://schemas.openxmlformats.org/officeDocument/2006/relationships/chart" Target="../charts/chart53.xml"/><Relationship Id="rId12" Type="http://schemas.microsoft.com/office/2014/relationships/chartEx" Target="../charts/chartEx64.xml"/><Relationship Id="rId17" Type="http://schemas.microsoft.com/office/2014/relationships/chartEx" Target="../charts/chartEx69.xml"/><Relationship Id="rId2" Type="http://schemas.openxmlformats.org/officeDocument/2006/relationships/image" Target="../media/image3.png"/><Relationship Id="rId16" Type="http://schemas.microsoft.com/office/2014/relationships/chartEx" Target="../charts/chartEx68.xml"/><Relationship Id="rId1" Type="http://schemas.openxmlformats.org/officeDocument/2006/relationships/image" Target="../media/image2.png"/><Relationship Id="rId6" Type="http://schemas.openxmlformats.org/officeDocument/2006/relationships/chart" Target="../charts/chart52.xml"/><Relationship Id="rId11" Type="http://schemas.openxmlformats.org/officeDocument/2006/relationships/chart" Target="../charts/chart57.xml"/><Relationship Id="rId5" Type="http://schemas.openxmlformats.org/officeDocument/2006/relationships/image" Target="../media/image6.png"/><Relationship Id="rId15" Type="http://schemas.microsoft.com/office/2014/relationships/chartEx" Target="../charts/chartEx67.xml"/><Relationship Id="rId10" Type="http://schemas.openxmlformats.org/officeDocument/2006/relationships/chart" Target="../charts/chart56.xml"/><Relationship Id="rId4" Type="http://schemas.openxmlformats.org/officeDocument/2006/relationships/image" Target="../media/image5.png"/><Relationship Id="rId9" Type="http://schemas.openxmlformats.org/officeDocument/2006/relationships/chart" Target="../charts/chart55.xml"/><Relationship Id="rId14" Type="http://schemas.microsoft.com/office/2014/relationships/chartEx" Target="../charts/chartEx66.xml"/></Relationships>
</file>

<file path=xl/drawings/_rels/drawing14.xml.rels><?xml version="1.0" encoding="UTF-8" standalone="yes"?>
<Relationships xmlns="http://schemas.openxmlformats.org/package/2006/relationships"><Relationship Id="rId8" Type="http://schemas.openxmlformats.org/officeDocument/2006/relationships/chart" Target="../charts/chart60.xml"/><Relationship Id="rId13" Type="http://schemas.microsoft.com/office/2014/relationships/chartEx" Target="../charts/chartEx71.xml"/><Relationship Id="rId3" Type="http://schemas.openxmlformats.org/officeDocument/2006/relationships/image" Target="../media/image4.png"/><Relationship Id="rId7" Type="http://schemas.openxmlformats.org/officeDocument/2006/relationships/chart" Target="../charts/chart59.xml"/><Relationship Id="rId12" Type="http://schemas.microsoft.com/office/2014/relationships/chartEx" Target="../charts/chartEx70.xml"/><Relationship Id="rId17" Type="http://schemas.microsoft.com/office/2014/relationships/chartEx" Target="../charts/chartEx75.xml"/><Relationship Id="rId2" Type="http://schemas.openxmlformats.org/officeDocument/2006/relationships/image" Target="../media/image3.png"/><Relationship Id="rId16" Type="http://schemas.microsoft.com/office/2014/relationships/chartEx" Target="../charts/chartEx74.xml"/><Relationship Id="rId1" Type="http://schemas.openxmlformats.org/officeDocument/2006/relationships/image" Target="../media/image2.png"/><Relationship Id="rId6" Type="http://schemas.openxmlformats.org/officeDocument/2006/relationships/chart" Target="../charts/chart58.xml"/><Relationship Id="rId11" Type="http://schemas.openxmlformats.org/officeDocument/2006/relationships/chart" Target="../charts/chart63.xml"/><Relationship Id="rId5" Type="http://schemas.openxmlformats.org/officeDocument/2006/relationships/image" Target="../media/image6.png"/><Relationship Id="rId15" Type="http://schemas.microsoft.com/office/2014/relationships/chartEx" Target="../charts/chartEx73.xml"/><Relationship Id="rId10" Type="http://schemas.openxmlformats.org/officeDocument/2006/relationships/chart" Target="../charts/chart62.xml"/><Relationship Id="rId4" Type="http://schemas.openxmlformats.org/officeDocument/2006/relationships/image" Target="../media/image5.png"/><Relationship Id="rId9" Type="http://schemas.openxmlformats.org/officeDocument/2006/relationships/chart" Target="../charts/chart61.xml"/><Relationship Id="rId14" Type="http://schemas.microsoft.com/office/2014/relationships/chartEx" Target="../charts/chartEx72.xml"/></Relationships>
</file>

<file path=xl/drawings/_rels/drawing15.xml.rels><?xml version="1.0" encoding="UTF-8" standalone="yes"?>
<Relationships xmlns="http://schemas.openxmlformats.org/package/2006/relationships"><Relationship Id="rId2" Type="http://schemas.microsoft.com/office/2014/relationships/chartEx" Target="../charts/chartEx77.xml"/><Relationship Id="rId1" Type="http://schemas.microsoft.com/office/2014/relationships/chartEx" Target="../charts/chartEx7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17780</xdr:colOff>
      <xdr:row>3</xdr:row>
      <xdr:rowOff>265793</xdr:rowOff>
    </xdr:to>
    <xdr:pic>
      <xdr:nvPicPr>
        <xdr:cNvPr id="4" name="Picture 1">
          <a:extLst>
            <a:ext uri="{FF2B5EF4-FFF2-40B4-BE49-F238E27FC236}">
              <a16:creationId xmlns:a16="http://schemas.microsoft.com/office/drawing/2014/main" id="{37548816-551E-46C6-B500-2DA5839384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16000" cy="4658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0</xdr:colOff>
      <xdr:row>109</xdr:row>
      <xdr:rowOff>0</xdr:rowOff>
    </xdr:from>
    <xdr:ext cx="168910" cy="457200"/>
    <xdr:sp macro="" textlink="">
      <xdr:nvSpPr>
        <xdr:cNvPr id="211" name="Text Box 9">
          <a:extLst>
            <a:ext uri="{FF2B5EF4-FFF2-40B4-BE49-F238E27FC236}">
              <a16:creationId xmlns:a16="http://schemas.microsoft.com/office/drawing/2014/main" id="{995A5FE5-67D7-4122-A897-EC8CD968A284}"/>
            </a:ext>
          </a:extLst>
        </xdr:cNvPr>
        <xdr:cNvSpPr txBox="1">
          <a:spLocks noChangeArrowheads="1"/>
        </xdr:cNvSpPr>
      </xdr:nvSpPr>
      <xdr:spPr bwMode="auto">
        <a:xfrm>
          <a:off x="302260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109</xdr:row>
      <xdr:rowOff>0</xdr:rowOff>
    </xdr:from>
    <xdr:ext cx="167005" cy="457200"/>
    <xdr:sp macro="" textlink="">
      <xdr:nvSpPr>
        <xdr:cNvPr id="212" name="Text Box 13">
          <a:extLst>
            <a:ext uri="{FF2B5EF4-FFF2-40B4-BE49-F238E27FC236}">
              <a16:creationId xmlns:a16="http://schemas.microsoft.com/office/drawing/2014/main" id="{62A91B87-E439-46C5-8AA8-5DA6616A004C}"/>
            </a:ext>
          </a:extLst>
        </xdr:cNvPr>
        <xdr:cNvSpPr txBox="1">
          <a:spLocks noChangeArrowheads="1"/>
        </xdr:cNvSpPr>
      </xdr:nvSpPr>
      <xdr:spPr bwMode="auto">
        <a:xfrm>
          <a:off x="112077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109</xdr:row>
      <xdr:rowOff>0</xdr:rowOff>
    </xdr:from>
    <xdr:ext cx="167005" cy="457200"/>
    <xdr:sp macro="" textlink="">
      <xdr:nvSpPr>
        <xdr:cNvPr id="213" name="Text Box 13">
          <a:extLst>
            <a:ext uri="{FF2B5EF4-FFF2-40B4-BE49-F238E27FC236}">
              <a16:creationId xmlns:a16="http://schemas.microsoft.com/office/drawing/2014/main" id="{EC1EFC17-BA98-4CAD-841D-D8C8A6A22D5E}"/>
            </a:ext>
          </a:extLst>
        </xdr:cNvPr>
        <xdr:cNvSpPr txBox="1">
          <a:spLocks noChangeArrowheads="1"/>
        </xdr:cNvSpPr>
      </xdr:nvSpPr>
      <xdr:spPr bwMode="auto">
        <a:xfrm>
          <a:off x="112077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109</xdr:row>
      <xdr:rowOff>0</xdr:rowOff>
    </xdr:from>
    <xdr:ext cx="152400" cy="457200"/>
    <xdr:sp macro="" textlink="">
      <xdr:nvSpPr>
        <xdr:cNvPr id="214" name="Text Box 13">
          <a:extLst>
            <a:ext uri="{FF2B5EF4-FFF2-40B4-BE49-F238E27FC236}">
              <a16:creationId xmlns:a16="http://schemas.microsoft.com/office/drawing/2014/main" id="{483A1E0E-0EA1-4BE1-9B02-657D003F1A53}"/>
            </a:ext>
          </a:extLst>
        </xdr:cNvPr>
        <xdr:cNvSpPr txBox="1">
          <a:spLocks noChangeArrowheads="1"/>
        </xdr:cNvSpPr>
      </xdr:nvSpPr>
      <xdr:spPr bwMode="auto">
        <a:xfrm>
          <a:off x="1118748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109</xdr:row>
      <xdr:rowOff>0</xdr:rowOff>
    </xdr:from>
    <xdr:ext cx="168910" cy="457200"/>
    <xdr:sp macro="" textlink="">
      <xdr:nvSpPr>
        <xdr:cNvPr id="215" name="Text Box 9">
          <a:extLst>
            <a:ext uri="{FF2B5EF4-FFF2-40B4-BE49-F238E27FC236}">
              <a16:creationId xmlns:a16="http://schemas.microsoft.com/office/drawing/2014/main" id="{F8CCDD64-5150-4C98-89C9-2CAA8E0F6A0A}"/>
            </a:ext>
          </a:extLst>
        </xdr:cNvPr>
        <xdr:cNvSpPr txBox="1">
          <a:spLocks noChangeArrowheads="1"/>
        </xdr:cNvSpPr>
      </xdr:nvSpPr>
      <xdr:spPr bwMode="auto">
        <a:xfrm>
          <a:off x="305320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106</xdr:row>
      <xdr:rowOff>10092</xdr:rowOff>
    </xdr:from>
    <xdr:to>
      <xdr:col>2</xdr:col>
      <xdr:colOff>38100</xdr:colOff>
      <xdr:row>106</xdr:row>
      <xdr:rowOff>149302</xdr:rowOff>
    </xdr:to>
    <xdr:pic>
      <xdr:nvPicPr>
        <xdr:cNvPr id="216" name="Picture 6">
          <a:extLst>
            <a:ext uri="{FF2B5EF4-FFF2-40B4-BE49-F238E27FC236}">
              <a16:creationId xmlns:a16="http://schemas.microsoft.com/office/drawing/2014/main" id="{F3EB8B5F-5932-4553-9834-F7FAB5835DDF}"/>
            </a:ext>
          </a:extLst>
        </xdr:cNvPr>
        <xdr:cNvPicPr>
          <a:picLocks noChangeAspect="1"/>
        </xdr:cNvPicPr>
      </xdr:nvPicPr>
      <xdr:blipFill>
        <a:blip xmlns:r="http://schemas.openxmlformats.org/officeDocument/2006/relationships" r:embed="rId1"/>
        <a:stretch>
          <a:fillRect/>
        </a:stretch>
      </xdr:blipFill>
      <xdr:spPr>
        <a:xfrm>
          <a:off x="3060700" y="20266592"/>
          <a:ext cx="158749" cy="139210"/>
        </a:xfrm>
        <a:prstGeom prst="rect">
          <a:avLst/>
        </a:prstGeom>
      </xdr:spPr>
    </xdr:pic>
    <xdr:clientData/>
  </xdr:twoCellAnchor>
  <xdr:twoCellAnchor editAs="oneCell">
    <xdr:from>
      <xdr:col>3</xdr:col>
      <xdr:colOff>13710</xdr:colOff>
      <xdr:row>106</xdr:row>
      <xdr:rowOff>13986</xdr:rowOff>
    </xdr:from>
    <xdr:to>
      <xdr:col>3</xdr:col>
      <xdr:colOff>154322</xdr:colOff>
      <xdr:row>106</xdr:row>
      <xdr:rowOff>169236</xdr:rowOff>
    </xdr:to>
    <xdr:pic>
      <xdr:nvPicPr>
        <xdr:cNvPr id="217" name="Picture 7">
          <a:extLst>
            <a:ext uri="{FF2B5EF4-FFF2-40B4-BE49-F238E27FC236}">
              <a16:creationId xmlns:a16="http://schemas.microsoft.com/office/drawing/2014/main" id="{630D1009-FFC9-49BA-A6A0-9F047B6C62FA}"/>
            </a:ext>
          </a:extLst>
        </xdr:cNvPr>
        <xdr:cNvPicPr>
          <a:picLocks noChangeAspect="1"/>
        </xdr:cNvPicPr>
      </xdr:nvPicPr>
      <xdr:blipFill>
        <a:blip xmlns:r="http://schemas.openxmlformats.org/officeDocument/2006/relationships" r:embed="rId2"/>
        <a:stretch>
          <a:fillRect/>
        </a:stretch>
      </xdr:blipFill>
      <xdr:spPr>
        <a:xfrm>
          <a:off x="4452360" y="20270486"/>
          <a:ext cx="140612" cy="145725"/>
        </a:xfrm>
        <a:prstGeom prst="rect">
          <a:avLst/>
        </a:prstGeom>
      </xdr:spPr>
    </xdr:pic>
    <xdr:clientData/>
  </xdr:twoCellAnchor>
  <xdr:twoCellAnchor editAs="oneCell">
    <xdr:from>
      <xdr:col>4</xdr:col>
      <xdr:colOff>44450</xdr:colOff>
      <xdr:row>106</xdr:row>
      <xdr:rowOff>19130</xdr:rowOff>
    </xdr:from>
    <xdr:to>
      <xdr:col>4</xdr:col>
      <xdr:colOff>225425</xdr:colOff>
      <xdr:row>107</xdr:row>
      <xdr:rowOff>6855</xdr:rowOff>
    </xdr:to>
    <xdr:pic>
      <xdr:nvPicPr>
        <xdr:cNvPr id="218" name="Picture 8">
          <a:extLst>
            <a:ext uri="{FF2B5EF4-FFF2-40B4-BE49-F238E27FC236}">
              <a16:creationId xmlns:a16="http://schemas.microsoft.com/office/drawing/2014/main" id="{399AD845-B4DC-46A3-BFE4-9A4AD598CB17}"/>
            </a:ext>
          </a:extLst>
        </xdr:cNvPr>
        <xdr:cNvPicPr>
          <a:picLocks noChangeAspect="1"/>
        </xdr:cNvPicPr>
      </xdr:nvPicPr>
      <xdr:blipFill>
        <a:blip xmlns:r="http://schemas.openxmlformats.org/officeDocument/2006/relationships" r:embed="rId3"/>
        <a:stretch>
          <a:fillRect/>
        </a:stretch>
      </xdr:blipFill>
      <xdr:spPr>
        <a:xfrm flipV="1">
          <a:off x="5861050" y="20275630"/>
          <a:ext cx="171450" cy="165918"/>
        </a:xfrm>
        <a:prstGeom prst="rect">
          <a:avLst/>
        </a:prstGeom>
      </xdr:spPr>
    </xdr:pic>
    <xdr:clientData/>
  </xdr:twoCellAnchor>
  <xdr:oneCellAnchor>
    <xdr:from>
      <xdr:col>1</xdr:col>
      <xdr:colOff>20248</xdr:colOff>
      <xdr:row>106</xdr:row>
      <xdr:rowOff>8127</xdr:rowOff>
    </xdr:from>
    <xdr:ext cx="199069" cy="170387"/>
    <xdr:pic>
      <xdr:nvPicPr>
        <xdr:cNvPr id="219" name="Picture 9">
          <a:extLst>
            <a:ext uri="{FF2B5EF4-FFF2-40B4-BE49-F238E27FC236}">
              <a16:creationId xmlns:a16="http://schemas.microsoft.com/office/drawing/2014/main" id="{DC2219C6-7FBF-44FA-B576-8F78983DD1C2}"/>
            </a:ext>
          </a:extLst>
        </xdr:cNvPr>
        <xdr:cNvPicPr>
          <a:picLocks noChangeAspect="1"/>
        </xdr:cNvPicPr>
      </xdr:nvPicPr>
      <xdr:blipFill>
        <a:blip xmlns:r="http://schemas.openxmlformats.org/officeDocument/2006/relationships" r:embed="rId4"/>
        <a:stretch>
          <a:fillRect/>
        </a:stretch>
      </xdr:blipFill>
      <xdr:spPr>
        <a:xfrm>
          <a:off x="1487098" y="20264627"/>
          <a:ext cx="199069" cy="170387"/>
        </a:xfrm>
        <a:prstGeom prst="rect">
          <a:avLst/>
        </a:prstGeom>
      </xdr:spPr>
    </xdr:pic>
    <xdr:clientData/>
  </xdr:oneCellAnchor>
  <xdr:twoCellAnchor editAs="oneCell">
    <xdr:from>
      <xdr:col>0</xdr:col>
      <xdr:colOff>0</xdr:colOff>
      <xdr:row>106</xdr:row>
      <xdr:rowOff>7863</xdr:rowOff>
    </xdr:from>
    <xdr:to>
      <xdr:col>0</xdr:col>
      <xdr:colOff>208786</xdr:colOff>
      <xdr:row>107</xdr:row>
      <xdr:rowOff>3030</xdr:rowOff>
    </xdr:to>
    <xdr:pic>
      <xdr:nvPicPr>
        <xdr:cNvPr id="220" name="Picture 10">
          <a:extLst>
            <a:ext uri="{FF2B5EF4-FFF2-40B4-BE49-F238E27FC236}">
              <a16:creationId xmlns:a16="http://schemas.microsoft.com/office/drawing/2014/main" id="{5D51387E-9D4F-4F16-9B52-8BF9C8CE9779}"/>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1</xdr:col>
      <xdr:colOff>979078</xdr:colOff>
      <xdr:row>27</xdr:row>
      <xdr:rowOff>127000</xdr:rowOff>
    </xdr:from>
    <xdr:to>
      <xdr:col>3</xdr:col>
      <xdr:colOff>970643</xdr:colOff>
      <xdr:row>41</xdr:row>
      <xdr:rowOff>175380</xdr:rowOff>
    </xdr:to>
    <xdr:grpSp>
      <xdr:nvGrpSpPr>
        <xdr:cNvPr id="221" name="Group 17">
          <a:extLst>
            <a:ext uri="{FF2B5EF4-FFF2-40B4-BE49-F238E27FC236}">
              <a16:creationId xmlns:a16="http://schemas.microsoft.com/office/drawing/2014/main" id="{507E5DCE-A821-4830-92A7-1ECBE2E7C5C5}"/>
            </a:ext>
          </a:extLst>
        </xdr:cNvPr>
        <xdr:cNvGrpSpPr/>
      </xdr:nvGrpSpPr>
      <xdr:grpSpPr>
        <a:xfrm>
          <a:off x="3550828" y="5794375"/>
          <a:ext cx="3325315" cy="2582030"/>
          <a:chOff x="5810561" y="5397766"/>
          <a:chExt cx="2667443" cy="2269965"/>
        </a:xfrm>
      </xdr:grpSpPr>
      <xdr:graphicFrame macro="">
        <xdr:nvGraphicFramePr>
          <xdr:cNvPr id="222" name="Chart 18">
            <a:extLst>
              <a:ext uri="{FF2B5EF4-FFF2-40B4-BE49-F238E27FC236}">
                <a16:creationId xmlns:a16="http://schemas.microsoft.com/office/drawing/2014/main" id="{A0ED86B9-6417-2CE1-2C23-338D89D9DB7F}"/>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6"/>
          </a:graphicData>
        </a:graphic>
      </xdr:graphicFrame>
      <xdr:sp macro="" textlink="$A$22">
        <xdr:nvSpPr>
          <xdr:cNvPr id="223" name="TextBox 19">
            <a:extLst>
              <a:ext uri="{FF2B5EF4-FFF2-40B4-BE49-F238E27FC236}">
                <a16:creationId xmlns:a16="http://schemas.microsoft.com/office/drawing/2014/main" id="{F40FDD50-99DC-7C4B-3DEC-CCC13735C75A}"/>
              </a:ext>
            </a:extLst>
          </xdr:cNvPr>
          <xdr:cNvSpPr txBox="1"/>
        </xdr:nvSpPr>
        <xdr:spPr>
          <a:xfrm>
            <a:off x="5961377" y="5406988"/>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AA1937E-1CD3-46B2-AD40-E0B9402FCEF7}" type="TxLink">
              <a:rPr lang="en-US" sz="1100" b="1" i="0" u="none" strike="noStrike">
                <a:solidFill>
                  <a:srgbClr val="000000"/>
                </a:solidFill>
                <a:latin typeface="Aptos Narrow"/>
                <a:ea typeface="Calibri"/>
                <a:cs typeface="Calibri"/>
              </a:rPr>
              <a:pPr algn="ctr"/>
              <a:t># of C&amp;R in pre- release(Track remaining C&amp;R)</a:t>
            </a:fld>
            <a:endParaRPr lang="en-IN" sz="2400" b="1"/>
          </a:p>
        </xdr:txBody>
      </xdr:sp>
    </xdr:grpSp>
    <xdr:clientData/>
  </xdr:twoCellAnchor>
  <xdr:twoCellAnchor>
    <xdr:from>
      <xdr:col>3</xdr:col>
      <xdr:colOff>1250648</xdr:colOff>
      <xdr:row>27</xdr:row>
      <xdr:rowOff>112019</xdr:rowOff>
    </xdr:from>
    <xdr:to>
      <xdr:col>7</xdr:col>
      <xdr:colOff>292849</xdr:colOff>
      <xdr:row>41</xdr:row>
      <xdr:rowOff>110672</xdr:rowOff>
    </xdr:to>
    <xdr:grpSp>
      <xdr:nvGrpSpPr>
        <xdr:cNvPr id="224" name="Group 26">
          <a:extLst>
            <a:ext uri="{FF2B5EF4-FFF2-40B4-BE49-F238E27FC236}">
              <a16:creationId xmlns:a16="http://schemas.microsoft.com/office/drawing/2014/main" id="{2D02A5A4-7210-40DB-90B4-8B9B327F367E}"/>
            </a:ext>
          </a:extLst>
        </xdr:cNvPr>
        <xdr:cNvGrpSpPr/>
      </xdr:nvGrpSpPr>
      <xdr:grpSpPr>
        <a:xfrm>
          <a:off x="7156148" y="5779394"/>
          <a:ext cx="3795176" cy="2532303"/>
          <a:chOff x="14383240" y="5433345"/>
          <a:chExt cx="2349106" cy="2083197"/>
        </a:xfrm>
      </xdr:grpSpPr>
      <xdr:graphicFrame macro="">
        <xdr:nvGraphicFramePr>
          <xdr:cNvPr id="225" name="Chart 27">
            <a:extLst>
              <a:ext uri="{FF2B5EF4-FFF2-40B4-BE49-F238E27FC236}">
                <a16:creationId xmlns:a16="http://schemas.microsoft.com/office/drawing/2014/main" id="{C4763BB8-9D18-C667-F3B4-1DD0C4E32A33}"/>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7"/>
          </a:graphicData>
        </a:graphic>
      </xdr:graphicFrame>
      <xdr:sp macro="" textlink="$A$24">
        <xdr:nvSpPr>
          <xdr:cNvPr id="226" name="TextBox 28">
            <a:extLst>
              <a:ext uri="{FF2B5EF4-FFF2-40B4-BE49-F238E27FC236}">
                <a16:creationId xmlns:a16="http://schemas.microsoft.com/office/drawing/2014/main" id="{F2BE0C2A-05C5-8300-B022-40ABB11A3D28}"/>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EB67FBB-760D-49B9-A92A-9CAADA4AF6FB}" type="TxLink">
              <a:rPr lang="en-US" sz="1200" b="1" i="0" u="none" strike="noStrike">
                <a:solidFill>
                  <a:srgbClr val="000000"/>
                </a:solidFill>
                <a:latin typeface="Aptos Narrow"/>
                <a:ea typeface="Calibri"/>
                <a:cs typeface="Calibri"/>
              </a:rPr>
              <a:pPr algn="ctr"/>
              <a:t>Audit</a:t>
            </a:fld>
            <a:endParaRPr lang="en-IN" sz="2800" b="1"/>
          </a:p>
        </xdr:txBody>
      </xdr:sp>
    </xdr:grpSp>
    <xdr:clientData/>
  </xdr:twoCellAnchor>
  <xdr:twoCellAnchor>
    <xdr:from>
      <xdr:col>0</xdr:col>
      <xdr:colOff>0</xdr:colOff>
      <xdr:row>66</xdr:row>
      <xdr:rowOff>23585</xdr:rowOff>
    </xdr:from>
    <xdr:to>
      <xdr:col>2</xdr:col>
      <xdr:colOff>1183765</xdr:colOff>
      <xdr:row>80</xdr:row>
      <xdr:rowOff>109753</xdr:rowOff>
    </xdr:to>
    <xdr:grpSp>
      <xdr:nvGrpSpPr>
        <xdr:cNvPr id="248" name="Group 18">
          <a:extLst>
            <a:ext uri="{FF2B5EF4-FFF2-40B4-BE49-F238E27FC236}">
              <a16:creationId xmlns:a16="http://schemas.microsoft.com/office/drawing/2014/main" id="{9226A7A4-4CEF-44FC-93D7-8149E2E0ECB7}"/>
            </a:ext>
          </a:extLst>
        </xdr:cNvPr>
        <xdr:cNvGrpSpPr/>
      </xdr:nvGrpSpPr>
      <xdr:grpSpPr>
        <a:xfrm>
          <a:off x="0" y="14873060"/>
          <a:ext cx="5422390"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249" name="Chart 31">
                <a:extLst>
                  <a:ext uri="{FF2B5EF4-FFF2-40B4-BE49-F238E27FC236}">
                    <a16:creationId xmlns:a16="http://schemas.microsoft.com/office/drawing/2014/main" id="{594C4290-CB47-D4D9-B038-80063B94B28C}"/>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9">
        <xdr:nvSpPr>
          <xdr:cNvPr id="250" name="TextBox 37">
            <a:extLst>
              <a:ext uri="{FF2B5EF4-FFF2-40B4-BE49-F238E27FC236}">
                <a16:creationId xmlns:a16="http://schemas.microsoft.com/office/drawing/2014/main" id="{B86571FE-BEDA-DA08-A6DC-ABCFBB9D7EC0}"/>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 CAPA investigation &lt; 90 days</a:t>
            </a:fld>
            <a:endParaRPr lang="en-IN" sz="1600" b="1"/>
          </a:p>
        </xdr:txBody>
      </xdr:sp>
    </xdr:grpSp>
    <xdr:clientData/>
  </xdr:twoCellAnchor>
  <xdr:twoCellAnchor>
    <xdr:from>
      <xdr:col>2</xdr:col>
      <xdr:colOff>1249382</xdr:colOff>
      <xdr:row>65</xdr:row>
      <xdr:rowOff>257956</xdr:rowOff>
    </xdr:from>
    <xdr:to>
      <xdr:col>5</xdr:col>
      <xdr:colOff>932901</xdr:colOff>
      <xdr:row>80</xdr:row>
      <xdr:rowOff>133272</xdr:rowOff>
    </xdr:to>
    <xdr:grpSp>
      <xdr:nvGrpSpPr>
        <xdr:cNvPr id="239" name="Group 40">
          <a:extLst>
            <a:ext uri="{FF2B5EF4-FFF2-40B4-BE49-F238E27FC236}">
              <a16:creationId xmlns:a16="http://schemas.microsoft.com/office/drawing/2014/main" id="{7400837B-1515-4980-9131-C6D4D199492D}"/>
            </a:ext>
          </a:extLst>
        </xdr:cNvPr>
        <xdr:cNvGrpSpPr/>
      </xdr:nvGrpSpPr>
      <xdr:grpSpPr>
        <a:xfrm>
          <a:off x="5488007" y="14840731"/>
          <a:ext cx="4226944" cy="267566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240" name="Chart 32">
                <a:extLst>
                  <a:ext uri="{FF2B5EF4-FFF2-40B4-BE49-F238E27FC236}">
                    <a16:creationId xmlns:a16="http://schemas.microsoft.com/office/drawing/2014/main" id="{610D9E96-2BC3-2BA0-2CC5-EBE214735D60}"/>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2">
        <xdr:nvSpPr>
          <xdr:cNvPr id="241" name="TextBox 39">
            <a:extLst>
              <a:ext uri="{FF2B5EF4-FFF2-40B4-BE49-F238E27FC236}">
                <a16:creationId xmlns:a16="http://schemas.microsoft.com/office/drawing/2014/main" id="{0B8628E4-C288-CC99-430E-631CEEEDF171}"/>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 CAPA implementation Tasks on time</a:t>
            </a:fld>
            <a:endParaRPr lang="en-IN" sz="1600" b="1"/>
          </a:p>
        </xdr:txBody>
      </xdr:sp>
    </xdr:grpSp>
    <xdr:clientData/>
  </xdr:twoCellAnchor>
  <xdr:twoCellAnchor>
    <xdr:from>
      <xdr:col>5</xdr:col>
      <xdr:colOff>1003064</xdr:colOff>
      <xdr:row>66</xdr:row>
      <xdr:rowOff>15312</xdr:rowOff>
    </xdr:from>
    <xdr:to>
      <xdr:col>9</xdr:col>
      <xdr:colOff>611482</xdr:colOff>
      <xdr:row>80</xdr:row>
      <xdr:rowOff>125432</xdr:rowOff>
    </xdr:to>
    <xdr:grpSp>
      <xdr:nvGrpSpPr>
        <xdr:cNvPr id="242" name="Group 42">
          <a:extLst>
            <a:ext uri="{FF2B5EF4-FFF2-40B4-BE49-F238E27FC236}">
              <a16:creationId xmlns:a16="http://schemas.microsoft.com/office/drawing/2014/main" id="{51E302AB-1B7E-479E-9DBC-7A76FE102008}"/>
            </a:ext>
          </a:extLst>
        </xdr:cNvPr>
        <xdr:cNvGrpSpPr/>
      </xdr:nvGrpSpPr>
      <xdr:grpSpPr>
        <a:xfrm>
          <a:off x="9785114" y="14864787"/>
          <a:ext cx="3485093"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243" name="Chart 33">
                <a:extLst>
                  <a:ext uri="{FF2B5EF4-FFF2-40B4-BE49-F238E27FC236}">
                    <a16:creationId xmlns:a16="http://schemas.microsoft.com/office/drawing/2014/main" id="{F6561CFB-C18D-0E2C-4C18-113BBE72DE40}"/>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REF!">
        <xdr:nvSpPr>
          <xdr:cNvPr id="244" name="TextBox 41">
            <a:extLst>
              <a:ext uri="{FF2B5EF4-FFF2-40B4-BE49-F238E27FC236}">
                <a16:creationId xmlns:a16="http://schemas.microsoft.com/office/drawing/2014/main" id="{3D9AAD7A-CF35-CE77-53BD-7C1800F95F9D}"/>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C&amp;R in pre-release</a:t>
            </a:fld>
            <a:endParaRPr lang="en-IN" sz="1600" b="1"/>
          </a:p>
        </xdr:txBody>
      </xdr:sp>
    </xdr:grpSp>
    <xdr:clientData/>
  </xdr:twoCellAnchor>
  <xdr:twoCellAnchor>
    <xdr:from>
      <xdr:col>9</xdr:col>
      <xdr:colOff>658518</xdr:colOff>
      <xdr:row>65</xdr:row>
      <xdr:rowOff>266376</xdr:rowOff>
    </xdr:from>
    <xdr:to>
      <xdr:col>13</xdr:col>
      <xdr:colOff>7762</xdr:colOff>
      <xdr:row>80</xdr:row>
      <xdr:rowOff>94074</xdr:rowOff>
    </xdr:to>
    <xdr:grpSp>
      <xdr:nvGrpSpPr>
        <xdr:cNvPr id="236" name="Group 46">
          <a:extLst>
            <a:ext uri="{FF2B5EF4-FFF2-40B4-BE49-F238E27FC236}">
              <a16:creationId xmlns:a16="http://schemas.microsoft.com/office/drawing/2014/main" id="{D884B30B-27CC-4E1F-934C-8476E2F338D7}"/>
            </a:ext>
          </a:extLst>
        </xdr:cNvPr>
        <xdr:cNvGrpSpPr/>
      </xdr:nvGrpSpPr>
      <xdr:grpSpPr>
        <a:xfrm>
          <a:off x="13317243" y="14849151"/>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237" name="Chart 34">
                <a:extLst>
                  <a:ext uri="{FF2B5EF4-FFF2-40B4-BE49-F238E27FC236}">
                    <a16:creationId xmlns:a16="http://schemas.microsoft.com/office/drawing/2014/main" id="{6F08F234-8F01-07AB-2B92-695CE46855B1}"/>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5">
        <xdr:nvSpPr>
          <xdr:cNvPr id="238" name="TextBox 45">
            <a:extLst>
              <a:ext uri="{FF2B5EF4-FFF2-40B4-BE49-F238E27FC236}">
                <a16:creationId xmlns:a16="http://schemas.microsoft.com/office/drawing/2014/main" id="{7CA54645-8E5A-0C39-6999-50F87BD72499}"/>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Factory Yield</a:t>
            </a:fld>
            <a:endParaRPr lang="en-IN" sz="1600" b="1"/>
          </a:p>
        </xdr:txBody>
      </xdr:sp>
    </xdr:grpSp>
    <xdr:clientData/>
  </xdr:twoCellAnchor>
  <xdr:twoCellAnchor>
    <xdr:from>
      <xdr:col>13</xdr:col>
      <xdr:colOff>54876</xdr:colOff>
      <xdr:row>65</xdr:row>
      <xdr:rowOff>233461</xdr:rowOff>
    </xdr:from>
    <xdr:to>
      <xdr:col>16</xdr:col>
      <xdr:colOff>266543</xdr:colOff>
      <xdr:row>80</xdr:row>
      <xdr:rowOff>94074</xdr:rowOff>
    </xdr:to>
    <xdr:grpSp>
      <xdr:nvGrpSpPr>
        <xdr:cNvPr id="254" name="Group 48">
          <a:extLst>
            <a:ext uri="{FF2B5EF4-FFF2-40B4-BE49-F238E27FC236}">
              <a16:creationId xmlns:a16="http://schemas.microsoft.com/office/drawing/2014/main" id="{2A629DD8-732F-49FD-A55C-FB040CF5C451}"/>
            </a:ext>
          </a:extLst>
        </xdr:cNvPr>
        <xdr:cNvGrpSpPr/>
      </xdr:nvGrpSpPr>
      <xdr:grpSpPr>
        <a:xfrm>
          <a:off x="17085576" y="14816236"/>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255" name="Chart 35">
                <a:extLst>
                  <a:ext uri="{FF2B5EF4-FFF2-40B4-BE49-F238E27FC236}">
                    <a16:creationId xmlns:a16="http://schemas.microsoft.com/office/drawing/2014/main" id="{E96AC15D-0A9A-1729-CB6C-C729F4FBC752}"/>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1">
        <xdr:nvSpPr>
          <xdr:cNvPr id="256" name="TextBox 47">
            <a:extLst>
              <a:ext uri="{FF2B5EF4-FFF2-40B4-BE49-F238E27FC236}">
                <a16:creationId xmlns:a16="http://schemas.microsoft.com/office/drawing/2014/main" id="{FFAF5454-1786-1A60-C855-CDC91522B3DE}"/>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65</xdr:row>
      <xdr:rowOff>232552</xdr:rowOff>
    </xdr:from>
    <xdr:to>
      <xdr:col>20</xdr:col>
      <xdr:colOff>31358</xdr:colOff>
      <xdr:row>80</xdr:row>
      <xdr:rowOff>117593</xdr:rowOff>
    </xdr:to>
    <xdr:grpSp>
      <xdr:nvGrpSpPr>
        <xdr:cNvPr id="251" name="Group 52">
          <a:extLst>
            <a:ext uri="{FF2B5EF4-FFF2-40B4-BE49-F238E27FC236}">
              <a16:creationId xmlns:a16="http://schemas.microsoft.com/office/drawing/2014/main" id="{55719CFA-65AC-44A3-ADEA-4301440DC508}"/>
            </a:ext>
          </a:extLst>
        </xdr:cNvPr>
        <xdr:cNvGrpSpPr/>
      </xdr:nvGrpSpPr>
      <xdr:grpSpPr>
        <a:xfrm>
          <a:off x="20731810" y="14815327"/>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252" name="Chart 45">
                <a:extLst>
                  <a:ext uri="{FF2B5EF4-FFF2-40B4-BE49-F238E27FC236}">
                    <a16:creationId xmlns:a16="http://schemas.microsoft.com/office/drawing/2014/main" id="{C0FD9C20-C0D7-2C2E-B0C0-16DD7F7B021D}"/>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4">
        <xdr:nvSpPr>
          <xdr:cNvPr id="253" name="TextBox 50">
            <a:extLst>
              <a:ext uri="{FF2B5EF4-FFF2-40B4-BE49-F238E27FC236}">
                <a16:creationId xmlns:a16="http://schemas.microsoft.com/office/drawing/2014/main" id="{10F2FF88-EEC7-861B-0E14-7CAECF743564}"/>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twoCellAnchor>
    <xdr:from>
      <xdr:col>0</xdr:col>
      <xdr:colOff>106957</xdr:colOff>
      <xdr:row>27</xdr:row>
      <xdr:rowOff>122205</xdr:rowOff>
    </xdr:from>
    <xdr:to>
      <xdr:col>1</xdr:col>
      <xdr:colOff>899583</xdr:colOff>
      <xdr:row>42</xdr:row>
      <xdr:rowOff>102220</xdr:rowOff>
    </xdr:to>
    <xdr:grpSp>
      <xdr:nvGrpSpPr>
        <xdr:cNvPr id="245" name="Group 11">
          <a:extLst>
            <a:ext uri="{FF2B5EF4-FFF2-40B4-BE49-F238E27FC236}">
              <a16:creationId xmlns:a16="http://schemas.microsoft.com/office/drawing/2014/main" id="{D15AE88A-1E50-4F53-8E84-0B7BEE0357FC}"/>
            </a:ext>
          </a:extLst>
        </xdr:cNvPr>
        <xdr:cNvGrpSpPr/>
      </xdr:nvGrpSpPr>
      <xdr:grpSpPr>
        <a:xfrm>
          <a:off x="106957" y="5789580"/>
          <a:ext cx="3364376" cy="2694640"/>
          <a:chOff x="244094" y="5646868"/>
          <a:chExt cx="2829628" cy="2158877"/>
        </a:xfrm>
      </xdr:grpSpPr>
      <xdr:graphicFrame macro="">
        <xdr:nvGraphicFramePr>
          <xdr:cNvPr id="246" name="Chart 12">
            <a:extLst>
              <a:ext uri="{FF2B5EF4-FFF2-40B4-BE49-F238E27FC236}">
                <a16:creationId xmlns:a16="http://schemas.microsoft.com/office/drawing/2014/main" id="{C54C3783-B713-AEC7-4986-43894CFC7FE1}"/>
              </a:ext>
            </a:extLst>
          </xdr:cNvPr>
          <xdr:cNvGraphicFramePr/>
        </xdr:nvGraphicFramePr>
        <xdr:xfrm>
          <a:off x="244094" y="5646868"/>
          <a:ext cx="2829628" cy="2158877"/>
        </xdr:xfrm>
        <a:graphic>
          <a:graphicData uri="http://schemas.openxmlformats.org/drawingml/2006/chart">
            <c:chart xmlns:c="http://schemas.openxmlformats.org/drawingml/2006/chart" xmlns:r="http://schemas.openxmlformats.org/officeDocument/2006/relationships" r:id="rId14"/>
          </a:graphicData>
        </a:graphic>
      </xdr:graphicFrame>
      <xdr:sp macro="" textlink="$A$20">
        <xdr:nvSpPr>
          <xdr:cNvPr id="247" name="TextBox 13">
            <a:extLst>
              <a:ext uri="{FF2B5EF4-FFF2-40B4-BE49-F238E27FC236}">
                <a16:creationId xmlns:a16="http://schemas.microsoft.com/office/drawing/2014/main" id="{558AB1AB-0B56-850E-D77E-5C0E77C37810}"/>
              </a:ext>
            </a:extLst>
          </xdr:cNvPr>
          <xdr:cNvSpPr txBox="1"/>
        </xdr:nvSpPr>
        <xdr:spPr>
          <a:xfrm>
            <a:off x="333525" y="5706249"/>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12054A5-81DF-4563-8F42-C0D447A2A8DC}" type="TxLink">
              <a:rPr lang="en-US" sz="1000" b="1" i="0" u="none" strike="noStrike">
                <a:solidFill>
                  <a:srgbClr val="000000"/>
                </a:solidFill>
                <a:latin typeface="Aptos Narrow"/>
                <a:ea typeface="Calibri"/>
                <a:cs typeface="Calibri"/>
              </a:rPr>
              <a:pPr algn="ctr"/>
              <a:t>% CAPA implementation Tasks on time</a:t>
            </a:fld>
            <a:endParaRPr lang="en-IN" sz="2000" b="1"/>
          </a:p>
        </xdr:txBody>
      </xdr:sp>
    </xdr:grp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0</xdr:colOff>
      <xdr:row>94</xdr:row>
      <xdr:rowOff>0</xdr:rowOff>
    </xdr:from>
    <xdr:ext cx="168910" cy="457200"/>
    <xdr:sp macro="" textlink="">
      <xdr:nvSpPr>
        <xdr:cNvPr id="2" name="Text Box 9">
          <a:extLst>
            <a:ext uri="{FF2B5EF4-FFF2-40B4-BE49-F238E27FC236}">
              <a16:creationId xmlns:a16="http://schemas.microsoft.com/office/drawing/2014/main" id="{0016A5A7-0750-4034-899C-D42652007B75}"/>
            </a:ext>
          </a:extLst>
        </xdr:cNvPr>
        <xdr:cNvSpPr txBox="1">
          <a:spLocks noChangeArrowheads="1"/>
        </xdr:cNvSpPr>
      </xdr:nvSpPr>
      <xdr:spPr bwMode="auto">
        <a:xfrm>
          <a:off x="302260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94</xdr:row>
      <xdr:rowOff>0</xdr:rowOff>
    </xdr:from>
    <xdr:ext cx="167005" cy="457200"/>
    <xdr:sp macro="" textlink="">
      <xdr:nvSpPr>
        <xdr:cNvPr id="3" name="Text Box 13">
          <a:extLst>
            <a:ext uri="{FF2B5EF4-FFF2-40B4-BE49-F238E27FC236}">
              <a16:creationId xmlns:a16="http://schemas.microsoft.com/office/drawing/2014/main" id="{320361A3-B9BB-4325-B522-712B5ED035A1}"/>
            </a:ext>
          </a:extLst>
        </xdr:cNvPr>
        <xdr:cNvSpPr txBox="1">
          <a:spLocks noChangeArrowheads="1"/>
        </xdr:cNvSpPr>
      </xdr:nvSpPr>
      <xdr:spPr bwMode="auto">
        <a:xfrm>
          <a:off x="112204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94</xdr:row>
      <xdr:rowOff>0</xdr:rowOff>
    </xdr:from>
    <xdr:ext cx="167005" cy="457200"/>
    <xdr:sp macro="" textlink="">
      <xdr:nvSpPr>
        <xdr:cNvPr id="4" name="Text Box 13">
          <a:extLst>
            <a:ext uri="{FF2B5EF4-FFF2-40B4-BE49-F238E27FC236}">
              <a16:creationId xmlns:a16="http://schemas.microsoft.com/office/drawing/2014/main" id="{66826EC3-2F5F-4727-90DA-EBEE1C26AD21}"/>
            </a:ext>
          </a:extLst>
        </xdr:cNvPr>
        <xdr:cNvSpPr txBox="1">
          <a:spLocks noChangeArrowheads="1"/>
        </xdr:cNvSpPr>
      </xdr:nvSpPr>
      <xdr:spPr bwMode="auto">
        <a:xfrm>
          <a:off x="112204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94</xdr:row>
      <xdr:rowOff>0</xdr:rowOff>
    </xdr:from>
    <xdr:ext cx="152400" cy="457200"/>
    <xdr:sp macro="" textlink="">
      <xdr:nvSpPr>
        <xdr:cNvPr id="5" name="Text Box 13">
          <a:extLst>
            <a:ext uri="{FF2B5EF4-FFF2-40B4-BE49-F238E27FC236}">
              <a16:creationId xmlns:a16="http://schemas.microsoft.com/office/drawing/2014/main" id="{6A894D5D-EEA6-4852-944C-E44FD8DA36F0}"/>
            </a:ext>
          </a:extLst>
        </xdr:cNvPr>
        <xdr:cNvSpPr txBox="1">
          <a:spLocks noChangeArrowheads="1"/>
        </xdr:cNvSpPr>
      </xdr:nvSpPr>
      <xdr:spPr bwMode="auto">
        <a:xfrm>
          <a:off x="1120018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94</xdr:row>
      <xdr:rowOff>0</xdr:rowOff>
    </xdr:from>
    <xdr:ext cx="168910" cy="457200"/>
    <xdr:sp macro="" textlink="">
      <xdr:nvSpPr>
        <xdr:cNvPr id="6" name="Text Box 9">
          <a:extLst>
            <a:ext uri="{FF2B5EF4-FFF2-40B4-BE49-F238E27FC236}">
              <a16:creationId xmlns:a16="http://schemas.microsoft.com/office/drawing/2014/main" id="{CC219240-6AAC-4C27-9D83-FB4EE7317D4A}"/>
            </a:ext>
          </a:extLst>
        </xdr:cNvPr>
        <xdr:cNvSpPr txBox="1">
          <a:spLocks noChangeArrowheads="1"/>
        </xdr:cNvSpPr>
      </xdr:nvSpPr>
      <xdr:spPr bwMode="auto">
        <a:xfrm>
          <a:off x="305320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91</xdr:row>
      <xdr:rowOff>10092</xdr:rowOff>
    </xdr:from>
    <xdr:to>
      <xdr:col>2</xdr:col>
      <xdr:colOff>211454</xdr:colOff>
      <xdr:row>91</xdr:row>
      <xdr:rowOff>149302</xdr:rowOff>
    </xdr:to>
    <xdr:pic>
      <xdr:nvPicPr>
        <xdr:cNvPr id="7" name="Picture 6">
          <a:extLst>
            <a:ext uri="{FF2B5EF4-FFF2-40B4-BE49-F238E27FC236}">
              <a16:creationId xmlns:a16="http://schemas.microsoft.com/office/drawing/2014/main" id="{3EA683B6-AB5B-41AF-B7B6-3DB17A3FD2E4}"/>
            </a:ext>
          </a:extLst>
        </xdr:cNvPr>
        <xdr:cNvPicPr>
          <a:picLocks noChangeAspect="1"/>
        </xdr:cNvPicPr>
      </xdr:nvPicPr>
      <xdr:blipFill>
        <a:blip xmlns:r="http://schemas.openxmlformats.org/officeDocument/2006/relationships" r:embed="rId1"/>
        <a:stretch>
          <a:fillRect/>
        </a:stretch>
      </xdr:blipFill>
      <xdr:spPr>
        <a:xfrm>
          <a:off x="3060700" y="20266592"/>
          <a:ext cx="158749" cy="139210"/>
        </a:xfrm>
        <a:prstGeom prst="rect">
          <a:avLst/>
        </a:prstGeom>
      </xdr:spPr>
    </xdr:pic>
    <xdr:clientData/>
  </xdr:twoCellAnchor>
  <xdr:twoCellAnchor editAs="oneCell">
    <xdr:from>
      <xdr:col>3</xdr:col>
      <xdr:colOff>13710</xdr:colOff>
      <xdr:row>91</xdr:row>
      <xdr:rowOff>13986</xdr:rowOff>
    </xdr:from>
    <xdr:to>
      <xdr:col>3</xdr:col>
      <xdr:colOff>154322</xdr:colOff>
      <xdr:row>91</xdr:row>
      <xdr:rowOff>169236</xdr:rowOff>
    </xdr:to>
    <xdr:pic>
      <xdr:nvPicPr>
        <xdr:cNvPr id="8" name="Picture 7">
          <a:extLst>
            <a:ext uri="{FF2B5EF4-FFF2-40B4-BE49-F238E27FC236}">
              <a16:creationId xmlns:a16="http://schemas.microsoft.com/office/drawing/2014/main" id="{7E467DC5-B491-40A2-86C2-ADF54789F920}"/>
            </a:ext>
          </a:extLst>
        </xdr:cNvPr>
        <xdr:cNvPicPr>
          <a:picLocks noChangeAspect="1"/>
        </xdr:cNvPicPr>
      </xdr:nvPicPr>
      <xdr:blipFill>
        <a:blip xmlns:r="http://schemas.openxmlformats.org/officeDocument/2006/relationships" r:embed="rId2"/>
        <a:stretch>
          <a:fillRect/>
        </a:stretch>
      </xdr:blipFill>
      <xdr:spPr>
        <a:xfrm>
          <a:off x="4446010" y="20270486"/>
          <a:ext cx="140612" cy="145725"/>
        </a:xfrm>
        <a:prstGeom prst="rect">
          <a:avLst/>
        </a:prstGeom>
      </xdr:spPr>
    </xdr:pic>
    <xdr:clientData/>
  </xdr:twoCellAnchor>
  <xdr:twoCellAnchor editAs="oneCell">
    <xdr:from>
      <xdr:col>4</xdr:col>
      <xdr:colOff>44450</xdr:colOff>
      <xdr:row>91</xdr:row>
      <xdr:rowOff>19130</xdr:rowOff>
    </xdr:from>
    <xdr:to>
      <xdr:col>4</xdr:col>
      <xdr:colOff>225425</xdr:colOff>
      <xdr:row>92</xdr:row>
      <xdr:rowOff>897</xdr:rowOff>
    </xdr:to>
    <xdr:pic>
      <xdr:nvPicPr>
        <xdr:cNvPr id="9" name="Picture 8">
          <a:extLst>
            <a:ext uri="{FF2B5EF4-FFF2-40B4-BE49-F238E27FC236}">
              <a16:creationId xmlns:a16="http://schemas.microsoft.com/office/drawing/2014/main" id="{322E39CF-B8ED-4E97-901F-17632D5227AE}"/>
            </a:ext>
          </a:extLst>
        </xdr:cNvPr>
        <xdr:cNvPicPr>
          <a:picLocks noChangeAspect="1"/>
        </xdr:cNvPicPr>
      </xdr:nvPicPr>
      <xdr:blipFill>
        <a:blip xmlns:r="http://schemas.openxmlformats.org/officeDocument/2006/relationships" r:embed="rId3"/>
        <a:stretch>
          <a:fillRect/>
        </a:stretch>
      </xdr:blipFill>
      <xdr:spPr>
        <a:xfrm flipV="1">
          <a:off x="5854700" y="20275630"/>
          <a:ext cx="171450" cy="165918"/>
        </a:xfrm>
        <a:prstGeom prst="rect">
          <a:avLst/>
        </a:prstGeom>
      </xdr:spPr>
    </xdr:pic>
    <xdr:clientData/>
  </xdr:twoCellAnchor>
  <xdr:oneCellAnchor>
    <xdr:from>
      <xdr:col>1</xdr:col>
      <xdr:colOff>20248</xdr:colOff>
      <xdr:row>91</xdr:row>
      <xdr:rowOff>8127</xdr:rowOff>
    </xdr:from>
    <xdr:ext cx="199069" cy="170387"/>
    <xdr:pic>
      <xdr:nvPicPr>
        <xdr:cNvPr id="10" name="Picture 9">
          <a:extLst>
            <a:ext uri="{FF2B5EF4-FFF2-40B4-BE49-F238E27FC236}">
              <a16:creationId xmlns:a16="http://schemas.microsoft.com/office/drawing/2014/main" id="{BF80714B-ED73-44EB-B6AE-D2AE44CFCBB5}"/>
            </a:ext>
          </a:extLst>
        </xdr:cNvPr>
        <xdr:cNvPicPr>
          <a:picLocks noChangeAspect="1"/>
        </xdr:cNvPicPr>
      </xdr:nvPicPr>
      <xdr:blipFill>
        <a:blip xmlns:r="http://schemas.openxmlformats.org/officeDocument/2006/relationships" r:embed="rId4"/>
        <a:stretch>
          <a:fillRect/>
        </a:stretch>
      </xdr:blipFill>
      <xdr:spPr>
        <a:xfrm>
          <a:off x="1487098" y="20264627"/>
          <a:ext cx="199069" cy="170387"/>
        </a:xfrm>
        <a:prstGeom prst="rect">
          <a:avLst/>
        </a:prstGeom>
      </xdr:spPr>
    </xdr:pic>
    <xdr:clientData/>
  </xdr:oneCellAnchor>
  <xdr:twoCellAnchor editAs="oneCell">
    <xdr:from>
      <xdr:col>0</xdr:col>
      <xdr:colOff>0</xdr:colOff>
      <xdr:row>91</xdr:row>
      <xdr:rowOff>7863</xdr:rowOff>
    </xdr:from>
    <xdr:to>
      <xdr:col>0</xdr:col>
      <xdr:colOff>208786</xdr:colOff>
      <xdr:row>92</xdr:row>
      <xdr:rowOff>247</xdr:rowOff>
    </xdr:to>
    <xdr:pic>
      <xdr:nvPicPr>
        <xdr:cNvPr id="11" name="Picture 10">
          <a:extLst>
            <a:ext uri="{FF2B5EF4-FFF2-40B4-BE49-F238E27FC236}">
              <a16:creationId xmlns:a16="http://schemas.microsoft.com/office/drawing/2014/main" id="{F2561870-C297-4466-9335-2A038095E215}"/>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0</xdr:col>
      <xdr:colOff>30010</xdr:colOff>
      <xdr:row>23</xdr:row>
      <xdr:rowOff>25935</xdr:rowOff>
    </xdr:from>
    <xdr:to>
      <xdr:col>2</xdr:col>
      <xdr:colOff>531812</xdr:colOff>
      <xdr:row>37</xdr:row>
      <xdr:rowOff>158750</xdr:rowOff>
    </xdr:to>
    <xdr:grpSp>
      <xdr:nvGrpSpPr>
        <xdr:cNvPr id="12" name="Group 11">
          <a:extLst>
            <a:ext uri="{FF2B5EF4-FFF2-40B4-BE49-F238E27FC236}">
              <a16:creationId xmlns:a16="http://schemas.microsoft.com/office/drawing/2014/main" id="{09243CFF-8D38-46D8-9C1E-C1CA2EC71074}"/>
            </a:ext>
          </a:extLst>
        </xdr:cNvPr>
        <xdr:cNvGrpSpPr/>
      </xdr:nvGrpSpPr>
      <xdr:grpSpPr>
        <a:xfrm>
          <a:off x="30010" y="6474360"/>
          <a:ext cx="4464202" cy="2666465"/>
          <a:chOff x="77635" y="5406915"/>
          <a:chExt cx="2829628" cy="2158877"/>
        </a:xfrm>
      </xdr:grpSpPr>
      <xdr:graphicFrame macro="">
        <xdr:nvGraphicFramePr>
          <xdr:cNvPr id="13" name="Chart 12">
            <a:extLst>
              <a:ext uri="{FF2B5EF4-FFF2-40B4-BE49-F238E27FC236}">
                <a16:creationId xmlns:a16="http://schemas.microsoft.com/office/drawing/2014/main" id="{3ACAF5DC-8956-A00E-71F2-DB5AD0CF4F7E}"/>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14" name="TextBox 13">
            <a:extLst>
              <a:ext uri="{FF2B5EF4-FFF2-40B4-BE49-F238E27FC236}">
                <a16:creationId xmlns:a16="http://schemas.microsoft.com/office/drawing/2014/main" id="{B204292F-9825-0D0C-E9B3-8B656CCB8ED6}"/>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F4CF8F9-394B-4167-BCEF-FDFF76DB057D}" type="TxLink">
              <a:rPr lang="en-US" sz="1100" b="1" i="0" u="none" strike="noStrike">
                <a:solidFill>
                  <a:srgbClr val="000000"/>
                </a:solidFill>
                <a:latin typeface="Aptos Narrow"/>
                <a:ea typeface="Calibri"/>
                <a:cs typeface="Calibri"/>
              </a:rPr>
              <a:pPr algn="ctr"/>
              <a:t>Country readiness</a:t>
            </a:fld>
            <a:endParaRPr lang="en-IN" sz="2400" b="1"/>
          </a:p>
        </xdr:txBody>
      </xdr:sp>
    </xdr:grpSp>
    <xdr:clientData/>
  </xdr:twoCellAnchor>
  <xdr:twoCellAnchor>
    <xdr:from>
      <xdr:col>2</xdr:col>
      <xdr:colOff>584545</xdr:colOff>
      <xdr:row>23</xdr:row>
      <xdr:rowOff>25400</xdr:rowOff>
    </xdr:from>
    <xdr:to>
      <xdr:col>4</xdr:col>
      <xdr:colOff>1452562</xdr:colOff>
      <xdr:row>37</xdr:row>
      <xdr:rowOff>174625</xdr:rowOff>
    </xdr:to>
    <xdr:grpSp>
      <xdr:nvGrpSpPr>
        <xdr:cNvPr id="15" name="Group 14">
          <a:extLst>
            <a:ext uri="{FF2B5EF4-FFF2-40B4-BE49-F238E27FC236}">
              <a16:creationId xmlns:a16="http://schemas.microsoft.com/office/drawing/2014/main" id="{BF48C3C8-E976-4C93-8F6F-683BBB7C2BC6}"/>
            </a:ext>
          </a:extLst>
        </xdr:cNvPr>
        <xdr:cNvGrpSpPr/>
      </xdr:nvGrpSpPr>
      <xdr:grpSpPr>
        <a:xfrm>
          <a:off x="4546945" y="6473825"/>
          <a:ext cx="3154017" cy="2682875"/>
          <a:chOff x="2905974" y="5419664"/>
          <a:chExt cx="3092518" cy="2147057"/>
        </a:xfrm>
      </xdr:grpSpPr>
      <xdr:graphicFrame macro="">
        <xdr:nvGraphicFramePr>
          <xdr:cNvPr id="16" name="Chart 15">
            <a:extLst>
              <a:ext uri="{FF2B5EF4-FFF2-40B4-BE49-F238E27FC236}">
                <a16:creationId xmlns:a16="http://schemas.microsoft.com/office/drawing/2014/main" id="{C8B7AEF1-A577-FFF2-B8A5-71E602AE9FA5}"/>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17" name="TextBox 16">
            <a:extLst>
              <a:ext uri="{FF2B5EF4-FFF2-40B4-BE49-F238E27FC236}">
                <a16:creationId xmlns:a16="http://schemas.microsoft.com/office/drawing/2014/main" id="{28209493-6CB3-DF43-820D-8E7D3F1C2617}"/>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Product Change assessment</a:t>
            </a:fld>
            <a:endParaRPr lang="en-IN" sz="1800" b="1"/>
          </a:p>
        </xdr:txBody>
      </xdr:sp>
    </xdr:grpSp>
    <xdr:clientData/>
  </xdr:twoCellAnchor>
  <xdr:twoCellAnchor>
    <xdr:from>
      <xdr:col>4</xdr:col>
      <xdr:colOff>1465263</xdr:colOff>
      <xdr:row>23</xdr:row>
      <xdr:rowOff>12700</xdr:rowOff>
    </xdr:from>
    <xdr:to>
      <xdr:col>8</xdr:col>
      <xdr:colOff>590550</xdr:colOff>
      <xdr:row>37</xdr:row>
      <xdr:rowOff>165100</xdr:rowOff>
    </xdr:to>
    <xdr:grpSp>
      <xdr:nvGrpSpPr>
        <xdr:cNvPr id="18" name="Group 17">
          <a:extLst>
            <a:ext uri="{FF2B5EF4-FFF2-40B4-BE49-F238E27FC236}">
              <a16:creationId xmlns:a16="http://schemas.microsoft.com/office/drawing/2014/main" id="{C15175F4-2689-4C9E-8D6A-D85DD6EE8DD0}"/>
            </a:ext>
          </a:extLst>
        </xdr:cNvPr>
        <xdr:cNvGrpSpPr/>
      </xdr:nvGrpSpPr>
      <xdr:grpSpPr>
        <a:xfrm>
          <a:off x="7694613" y="6461125"/>
          <a:ext cx="3735387" cy="2686050"/>
          <a:chOff x="5810561" y="5397766"/>
          <a:chExt cx="2667443" cy="2269965"/>
        </a:xfrm>
      </xdr:grpSpPr>
      <xdr:graphicFrame macro="">
        <xdr:nvGraphicFramePr>
          <xdr:cNvPr id="19" name="Chart 18">
            <a:extLst>
              <a:ext uri="{FF2B5EF4-FFF2-40B4-BE49-F238E27FC236}">
                <a16:creationId xmlns:a16="http://schemas.microsoft.com/office/drawing/2014/main" id="{7B1BB586-E10B-D9E4-D92E-71E74EF96FC3}"/>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20" name="TextBox 19">
            <a:extLst>
              <a:ext uri="{FF2B5EF4-FFF2-40B4-BE49-F238E27FC236}">
                <a16:creationId xmlns:a16="http://schemas.microsoft.com/office/drawing/2014/main" id="{5FC73727-B05A-20E8-3AA6-F93B1B294EA6}"/>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B1228FE-F8E2-4643-9548-63B5C7369D3E}" type="TxLink">
              <a:rPr lang="en-US" sz="1200" b="1" i="0" u="none" strike="noStrike">
                <a:solidFill>
                  <a:srgbClr val="000000"/>
                </a:solidFill>
                <a:latin typeface="Aptos Narrow"/>
                <a:ea typeface="Calibri"/>
                <a:cs typeface="Calibri"/>
              </a:rPr>
              <a:pPr algn="ctr"/>
              <a:t>Submission readiness</a:t>
            </a:fld>
            <a:endParaRPr lang="en-IN" sz="2800" b="1"/>
          </a:p>
        </xdr:txBody>
      </xdr:sp>
    </xdr:grpSp>
    <xdr:clientData/>
  </xdr:twoCellAnchor>
  <xdr:twoCellAnchor>
    <xdr:from>
      <xdr:col>0</xdr:col>
      <xdr:colOff>0</xdr:colOff>
      <xdr:row>62</xdr:row>
      <xdr:rowOff>23585</xdr:rowOff>
    </xdr:from>
    <xdr:to>
      <xdr:col>2</xdr:col>
      <xdr:colOff>1183765</xdr:colOff>
      <xdr:row>76</xdr:row>
      <xdr:rowOff>109753</xdr:rowOff>
    </xdr:to>
    <xdr:grpSp>
      <xdr:nvGrpSpPr>
        <xdr:cNvPr id="187" name="Group 29">
          <a:extLst>
            <a:ext uri="{FF2B5EF4-FFF2-40B4-BE49-F238E27FC236}">
              <a16:creationId xmlns:a16="http://schemas.microsoft.com/office/drawing/2014/main" id="{905F3769-6082-4F98-97B1-6AECCDC0D55E}"/>
            </a:ext>
          </a:extLst>
        </xdr:cNvPr>
        <xdr:cNvGrpSpPr/>
      </xdr:nvGrpSpPr>
      <xdr:grpSpPr>
        <a:xfrm>
          <a:off x="0" y="16835210"/>
          <a:ext cx="4993765"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188" name="Chart 30">
                <a:extLst>
                  <a:ext uri="{FF2B5EF4-FFF2-40B4-BE49-F238E27FC236}">
                    <a16:creationId xmlns:a16="http://schemas.microsoft.com/office/drawing/2014/main" id="{E180CB65-828A-8021-77C3-708CDEA6EB1F}"/>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5">
        <xdr:nvSpPr>
          <xdr:cNvPr id="189" name="TextBox 31">
            <a:extLst>
              <a:ext uri="{FF2B5EF4-FFF2-40B4-BE49-F238E27FC236}">
                <a16:creationId xmlns:a16="http://schemas.microsoft.com/office/drawing/2014/main" id="{0CE9FDBD-55B3-40FE-25F1-2116C8115AAA}"/>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Product Change assessment (Feb-26)</a:t>
            </a:fld>
            <a:endParaRPr lang="en-IN" sz="1600" b="1"/>
          </a:p>
        </xdr:txBody>
      </xdr:sp>
    </xdr:grpSp>
    <xdr:clientData/>
  </xdr:twoCellAnchor>
  <xdr:twoCellAnchor>
    <xdr:from>
      <xdr:col>2</xdr:col>
      <xdr:colOff>1249382</xdr:colOff>
      <xdr:row>61</xdr:row>
      <xdr:rowOff>257956</xdr:rowOff>
    </xdr:from>
    <xdr:to>
      <xdr:col>5</xdr:col>
      <xdr:colOff>932901</xdr:colOff>
      <xdr:row>76</xdr:row>
      <xdr:rowOff>133272</xdr:rowOff>
    </xdr:to>
    <xdr:grpSp>
      <xdr:nvGrpSpPr>
        <xdr:cNvPr id="2049" name="Group 32">
          <a:extLst>
            <a:ext uri="{FF2B5EF4-FFF2-40B4-BE49-F238E27FC236}">
              <a16:creationId xmlns:a16="http://schemas.microsoft.com/office/drawing/2014/main" id="{FE961F4F-B58D-498B-BDD7-2479C181E37C}"/>
            </a:ext>
          </a:extLst>
        </xdr:cNvPr>
        <xdr:cNvGrpSpPr/>
      </xdr:nvGrpSpPr>
      <xdr:grpSpPr>
        <a:xfrm>
          <a:off x="4992707" y="16802881"/>
          <a:ext cx="3636394" cy="267566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2050" name="Chart 33">
                <a:extLst>
                  <a:ext uri="{FF2B5EF4-FFF2-40B4-BE49-F238E27FC236}">
                    <a16:creationId xmlns:a16="http://schemas.microsoft.com/office/drawing/2014/main" id="{2B4F75CD-C79D-504B-8EBB-947F50E996A5}"/>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8">
        <xdr:nvSpPr>
          <xdr:cNvPr id="2051" name="TextBox 34">
            <a:extLst>
              <a:ext uri="{FF2B5EF4-FFF2-40B4-BE49-F238E27FC236}">
                <a16:creationId xmlns:a16="http://schemas.microsoft.com/office/drawing/2014/main" id="{F3652CAD-4553-240A-2A02-E9F5D273A8C9}"/>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Registrations &amp; re-certifications on time (Apr-26)</a:t>
            </a:fld>
            <a:endParaRPr lang="en-IN" sz="1600" b="1"/>
          </a:p>
        </xdr:txBody>
      </xdr:sp>
    </xdr:grpSp>
    <xdr:clientData/>
  </xdr:twoCellAnchor>
  <xdr:twoCellAnchor>
    <xdr:from>
      <xdr:col>5</xdr:col>
      <xdr:colOff>1003064</xdr:colOff>
      <xdr:row>62</xdr:row>
      <xdr:rowOff>15312</xdr:rowOff>
    </xdr:from>
    <xdr:to>
      <xdr:col>9</xdr:col>
      <xdr:colOff>611482</xdr:colOff>
      <xdr:row>76</xdr:row>
      <xdr:rowOff>125432</xdr:rowOff>
    </xdr:to>
    <xdr:grpSp>
      <xdr:nvGrpSpPr>
        <xdr:cNvPr id="184" name="Group 35">
          <a:extLst>
            <a:ext uri="{FF2B5EF4-FFF2-40B4-BE49-F238E27FC236}">
              <a16:creationId xmlns:a16="http://schemas.microsoft.com/office/drawing/2014/main" id="{B47213E9-A856-4A18-98F9-0C275CB920E5}"/>
            </a:ext>
          </a:extLst>
        </xdr:cNvPr>
        <xdr:cNvGrpSpPr/>
      </xdr:nvGrpSpPr>
      <xdr:grpSpPr>
        <a:xfrm>
          <a:off x="8699264" y="16826937"/>
          <a:ext cx="3723218"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85" name="Chart 36">
                <a:extLst>
                  <a:ext uri="{FF2B5EF4-FFF2-40B4-BE49-F238E27FC236}">
                    <a16:creationId xmlns:a16="http://schemas.microsoft.com/office/drawing/2014/main" id="{227B2399-B62A-A175-2D09-8AB40066B61C}"/>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1">
        <xdr:nvSpPr>
          <xdr:cNvPr id="186" name="TextBox 37">
            <a:extLst>
              <a:ext uri="{FF2B5EF4-FFF2-40B4-BE49-F238E27FC236}">
                <a16:creationId xmlns:a16="http://schemas.microsoft.com/office/drawing/2014/main" id="{8FA2B6F4-6BA7-1AEE-F7B6-9210F834BEEA}"/>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Product Change assessment 
(Apr-26 &amp; May-26)</a:t>
            </a:fld>
            <a:endParaRPr lang="en-IN" sz="1600" b="1"/>
          </a:p>
        </xdr:txBody>
      </xdr:sp>
    </xdr:grpSp>
    <xdr:clientData/>
  </xdr:twoCellAnchor>
  <xdr:twoCellAnchor>
    <xdr:from>
      <xdr:col>9</xdr:col>
      <xdr:colOff>658518</xdr:colOff>
      <xdr:row>61</xdr:row>
      <xdr:rowOff>266376</xdr:rowOff>
    </xdr:from>
    <xdr:to>
      <xdr:col>13</xdr:col>
      <xdr:colOff>7762</xdr:colOff>
      <xdr:row>76</xdr:row>
      <xdr:rowOff>94074</xdr:rowOff>
    </xdr:to>
    <xdr:grpSp>
      <xdr:nvGrpSpPr>
        <xdr:cNvPr id="178" name="Group 38">
          <a:extLst>
            <a:ext uri="{FF2B5EF4-FFF2-40B4-BE49-F238E27FC236}">
              <a16:creationId xmlns:a16="http://schemas.microsoft.com/office/drawing/2014/main" id="{809B2A15-A1A9-47C5-82E2-C07C866BFA9D}"/>
            </a:ext>
          </a:extLst>
        </xdr:cNvPr>
        <xdr:cNvGrpSpPr/>
      </xdr:nvGrpSpPr>
      <xdr:grpSpPr>
        <a:xfrm>
          <a:off x="12469518" y="16811301"/>
          <a:ext cx="3635494"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179" name="Chart 39">
                <a:extLst>
                  <a:ext uri="{FF2B5EF4-FFF2-40B4-BE49-F238E27FC236}">
                    <a16:creationId xmlns:a16="http://schemas.microsoft.com/office/drawing/2014/main" id="{64285BEF-3CB6-396A-3A2A-F2434FA63137}"/>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4">
        <xdr:nvSpPr>
          <xdr:cNvPr id="180" name="TextBox 40">
            <a:extLst>
              <a:ext uri="{FF2B5EF4-FFF2-40B4-BE49-F238E27FC236}">
                <a16:creationId xmlns:a16="http://schemas.microsoft.com/office/drawing/2014/main" id="{7C3CF458-8083-3FFD-2D02-8BA9AF173F4E}"/>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Submission readiness (Apr-26)</a:t>
            </a:fld>
            <a:endParaRPr lang="en-IN" sz="1600" b="1"/>
          </a:p>
        </xdr:txBody>
      </xdr:sp>
    </xdr:grpSp>
    <xdr:clientData/>
  </xdr:twoCellAnchor>
  <xdr:twoCellAnchor>
    <xdr:from>
      <xdr:col>13</xdr:col>
      <xdr:colOff>54876</xdr:colOff>
      <xdr:row>61</xdr:row>
      <xdr:rowOff>233461</xdr:rowOff>
    </xdr:from>
    <xdr:to>
      <xdr:col>16</xdr:col>
      <xdr:colOff>266543</xdr:colOff>
      <xdr:row>76</xdr:row>
      <xdr:rowOff>94074</xdr:rowOff>
    </xdr:to>
    <xdr:grpSp>
      <xdr:nvGrpSpPr>
        <xdr:cNvPr id="181" name="Group 41">
          <a:extLst>
            <a:ext uri="{FF2B5EF4-FFF2-40B4-BE49-F238E27FC236}">
              <a16:creationId xmlns:a16="http://schemas.microsoft.com/office/drawing/2014/main" id="{6A2A3EF9-AAD1-4E52-8592-EF2E305BD1E1}"/>
            </a:ext>
          </a:extLst>
        </xdr:cNvPr>
        <xdr:cNvGrpSpPr/>
      </xdr:nvGrpSpPr>
      <xdr:grpSpPr>
        <a:xfrm>
          <a:off x="16152126" y="16778386"/>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182" name="Chart 42">
                <a:extLst>
                  <a:ext uri="{FF2B5EF4-FFF2-40B4-BE49-F238E27FC236}">
                    <a16:creationId xmlns:a16="http://schemas.microsoft.com/office/drawing/2014/main" id="{A7C0F482-98A3-9EA3-4812-E6670F5264C2}"/>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183" name="TextBox 43">
            <a:extLst>
              <a:ext uri="{FF2B5EF4-FFF2-40B4-BE49-F238E27FC236}">
                <a16:creationId xmlns:a16="http://schemas.microsoft.com/office/drawing/2014/main" id="{8CC6FF6A-0947-F3D6-AE38-5A8ED57F450F}"/>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61</xdr:row>
      <xdr:rowOff>232552</xdr:rowOff>
    </xdr:from>
    <xdr:to>
      <xdr:col>20</xdr:col>
      <xdr:colOff>31358</xdr:colOff>
      <xdr:row>76</xdr:row>
      <xdr:rowOff>117593</xdr:rowOff>
    </xdr:to>
    <xdr:grpSp>
      <xdr:nvGrpSpPr>
        <xdr:cNvPr id="190" name="Group 44">
          <a:extLst>
            <a:ext uri="{FF2B5EF4-FFF2-40B4-BE49-F238E27FC236}">
              <a16:creationId xmlns:a16="http://schemas.microsoft.com/office/drawing/2014/main" id="{851AC949-FF0C-4142-8C4C-5F45AF29FACA}"/>
            </a:ext>
          </a:extLst>
        </xdr:cNvPr>
        <xdr:cNvGrpSpPr/>
      </xdr:nvGrpSpPr>
      <xdr:grpSpPr>
        <a:xfrm>
          <a:off x="19798360" y="16777477"/>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91" name="Chart 45">
                <a:extLst>
                  <a:ext uri="{FF2B5EF4-FFF2-40B4-BE49-F238E27FC236}">
                    <a16:creationId xmlns:a16="http://schemas.microsoft.com/office/drawing/2014/main" id="{3DF98799-D0A0-4A2E-EFC2-DA462473B93F}"/>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0">
        <xdr:nvSpPr>
          <xdr:cNvPr id="2048" name="TextBox 46">
            <a:extLst>
              <a:ext uri="{FF2B5EF4-FFF2-40B4-BE49-F238E27FC236}">
                <a16:creationId xmlns:a16="http://schemas.microsoft.com/office/drawing/2014/main" id="{BF67EEE5-4EE1-E22F-6A30-EE14CB6A3886}"/>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twoCellAnchor>
    <xdr:from>
      <xdr:col>8</xdr:col>
      <xdr:colOff>702469</xdr:colOff>
      <xdr:row>22</xdr:row>
      <xdr:rowOff>255587</xdr:rowOff>
    </xdr:from>
    <xdr:to>
      <xdr:col>12</xdr:col>
      <xdr:colOff>658812</xdr:colOff>
      <xdr:row>37</xdr:row>
      <xdr:rowOff>142875</xdr:rowOff>
    </xdr:to>
    <xdr:grpSp>
      <xdr:nvGrpSpPr>
        <xdr:cNvPr id="147" name="Group 26">
          <a:extLst>
            <a:ext uri="{FF2B5EF4-FFF2-40B4-BE49-F238E27FC236}">
              <a16:creationId xmlns:a16="http://schemas.microsoft.com/office/drawing/2014/main" id="{C459EB2E-50F7-014B-469C-643CDC0EDF8E}"/>
            </a:ext>
          </a:extLst>
        </xdr:cNvPr>
        <xdr:cNvGrpSpPr/>
      </xdr:nvGrpSpPr>
      <xdr:grpSpPr>
        <a:xfrm>
          <a:off x="11541919" y="6437312"/>
          <a:ext cx="4175918" cy="2687638"/>
          <a:chOff x="15513844" y="5240337"/>
          <a:chExt cx="4572000" cy="2743200"/>
        </a:xfrm>
      </xdr:grpSpPr>
      <xdr:graphicFrame macro="">
        <xdr:nvGraphicFramePr>
          <xdr:cNvPr id="148" name="Chart 24">
            <a:extLst>
              <a:ext uri="{FF2B5EF4-FFF2-40B4-BE49-F238E27FC236}">
                <a16:creationId xmlns:a16="http://schemas.microsoft.com/office/drawing/2014/main" id="{86D5F55F-E733-AFC2-CF9B-1E9CA0ECA118}"/>
              </a:ext>
            </a:extLst>
          </xdr:cNvPr>
          <xdr:cNvGraphicFramePr/>
        </xdr:nvGraphicFramePr>
        <xdr:xfrm>
          <a:off x="15513844" y="5240337"/>
          <a:ext cx="4572000" cy="2743200"/>
        </xdr:xfrm>
        <a:graphic>
          <a:graphicData uri="http://schemas.openxmlformats.org/drawingml/2006/chart">
            <c:chart xmlns:c="http://schemas.openxmlformats.org/drawingml/2006/chart" xmlns:r="http://schemas.openxmlformats.org/officeDocument/2006/relationships" r:id="rId15"/>
          </a:graphicData>
        </a:graphic>
      </xdr:graphicFrame>
      <xdr:sp macro="" textlink="$A$20">
        <xdr:nvSpPr>
          <xdr:cNvPr id="149" name="TextBox 25">
            <a:extLst>
              <a:ext uri="{FF2B5EF4-FFF2-40B4-BE49-F238E27FC236}">
                <a16:creationId xmlns:a16="http://schemas.microsoft.com/office/drawing/2014/main" id="{1311AFD0-C13A-CBA5-77CD-85CF0319523A}"/>
              </a:ext>
            </a:extLst>
          </xdr:cNvPr>
          <xdr:cNvSpPr txBox="1"/>
        </xdr:nvSpPr>
        <xdr:spPr>
          <a:xfrm>
            <a:off x="15533687" y="5286377"/>
            <a:ext cx="4492625" cy="30956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7F1B7C-9761-49B4-8FEB-3F3728A5ECDF}" type="TxLink">
              <a:rPr lang="en-US" sz="1200" b="1" i="0" u="none" strike="noStrike">
                <a:solidFill>
                  <a:srgbClr val="000000"/>
                </a:solidFill>
                <a:latin typeface="Aptos Narrow"/>
              </a:rPr>
              <a:pPr algn="ctr"/>
              <a:t>Quality of submission</a:t>
            </a:fld>
            <a:endParaRPr lang="en-IN" sz="1600" b="1"/>
          </a:p>
        </xdr:txBody>
      </xdr:sp>
    </xdr:grpSp>
    <xdr:clientData/>
  </xdr:twoCellAnchor>
  <xdr:twoCellAnchor editAs="oneCell">
    <xdr:from>
      <xdr:col>0</xdr:col>
      <xdr:colOff>0</xdr:colOff>
      <xdr:row>1</xdr:row>
      <xdr:rowOff>0</xdr:rowOff>
    </xdr:from>
    <xdr:to>
      <xdr:col>0</xdr:col>
      <xdr:colOff>304800</xdr:colOff>
      <xdr:row>2</xdr:row>
      <xdr:rowOff>73025</xdr:rowOff>
    </xdr:to>
    <xdr:sp macro="" textlink="">
      <xdr:nvSpPr>
        <xdr:cNvPr id="2053" name="AutoShape 5">
          <a:extLst>
            <a:ext uri="{FF2B5EF4-FFF2-40B4-BE49-F238E27FC236}">
              <a16:creationId xmlns:a16="http://schemas.microsoft.com/office/drawing/2014/main" id="{85751168-1566-AFC3-D02A-3880AB9B8923}"/>
            </a:ext>
          </a:extLst>
        </xdr:cNvPr>
        <xdr:cNvSpPr>
          <a:spLocks noChangeAspect="1" noChangeArrowheads="1"/>
        </xdr:cNvSpPr>
      </xdr:nvSpPr>
      <xdr:spPr bwMode="auto">
        <a:xfrm>
          <a:off x="0" y="24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73025</xdr:rowOff>
    </xdr:to>
    <xdr:sp macro="" textlink="">
      <xdr:nvSpPr>
        <xdr:cNvPr id="2054" name="AutoShape 6">
          <a:extLst>
            <a:ext uri="{FF2B5EF4-FFF2-40B4-BE49-F238E27FC236}">
              <a16:creationId xmlns:a16="http://schemas.microsoft.com/office/drawing/2014/main" id="{819897C9-D727-CC22-867D-F952683F034B}"/>
            </a:ext>
          </a:extLst>
        </xdr:cNvPr>
        <xdr:cNvSpPr>
          <a:spLocks noChangeAspect="1" noChangeArrowheads="1"/>
        </xdr:cNvSpPr>
      </xdr:nvSpPr>
      <xdr:spPr bwMode="auto">
        <a:xfrm>
          <a:off x="0" y="24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2</xdr:row>
      <xdr:rowOff>0</xdr:rowOff>
    </xdr:from>
    <xdr:to>
      <xdr:col>5</xdr:col>
      <xdr:colOff>304800</xdr:colOff>
      <xdr:row>3</xdr:row>
      <xdr:rowOff>53975</xdr:rowOff>
    </xdr:to>
    <xdr:sp macro="" textlink="">
      <xdr:nvSpPr>
        <xdr:cNvPr id="2056" name="AutoShape 8" descr="Back Button Icon Png at Vectorified.com | Collection of Back Button ...">
          <a:extLst>
            <a:ext uri="{FF2B5EF4-FFF2-40B4-BE49-F238E27FC236}">
              <a16:creationId xmlns:a16="http://schemas.microsoft.com/office/drawing/2014/main" id="{9B79916E-87D0-89E5-81EE-B21412F4190D}"/>
            </a:ext>
          </a:extLst>
        </xdr:cNvPr>
        <xdr:cNvSpPr>
          <a:spLocks noChangeAspect="1" noChangeArrowheads="1"/>
        </xdr:cNvSpPr>
      </xdr:nvSpPr>
      <xdr:spPr bwMode="auto">
        <a:xfrm>
          <a:off x="7315200" y="48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xdr:row>
      <xdr:rowOff>0</xdr:rowOff>
    </xdr:from>
    <xdr:to>
      <xdr:col>4</xdr:col>
      <xdr:colOff>304800</xdr:colOff>
      <xdr:row>3</xdr:row>
      <xdr:rowOff>53975</xdr:rowOff>
    </xdr:to>
    <xdr:sp macro="" textlink="">
      <xdr:nvSpPr>
        <xdr:cNvPr id="2057" name="AutoShape 9" descr="Back Button Icon Png at Vectorified.com | Collection of Back Button ...">
          <a:extLst>
            <a:ext uri="{FF2B5EF4-FFF2-40B4-BE49-F238E27FC236}">
              <a16:creationId xmlns:a16="http://schemas.microsoft.com/office/drawing/2014/main" id="{4226CC58-4207-0630-CC21-AD1AFD0B78BD}"/>
            </a:ext>
          </a:extLst>
        </xdr:cNvPr>
        <xdr:cNvSpPr>
          <a:spLocks noChangeAspect="1" noChangeArrowheads="1"/>
        </xdr:cNvSpPr>
      </xdr:nvSpPr>
      <xdr:spPr bwMode="auto">
        <a:xfrm>
          <a:off x="5848350" y="48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0</xdr:colOff>
      <xdr:row>114</xdr:row>
      <xdr:rowOff>0</xdr:rowOff>
    </xdr:from>
    <xdr:ext cx="168910" cy="457200"/>
    <xdr:sp macro="" textlink="">
      <xdr:nvSpPr>
        <xdr:cNvPr id="2" name="Text Box 9">
          <a:extLst>
            <a:ext uri="{FF2B5EF4-FFF2-40B4-BE49-F238E27FC236}">
              <a16:creationId xmlns:a16="http://schemas.microsoft.com/office/drawing/2014/main" id="{214B7E34-5782-4720-88AF-54B6074B23AA}"/>
            </a:ext>
          </a:extLst>
        </xdr:cNvPr>
        <xdr:cNvSpPr txBox="1">
          <a:spLocks noChangeArrowheads="1"/>
        </xdr:cNvSpPr>
      </xdr:nvSpPr>
      <xdr:spPr bwMode="auto">
        <a:xfrm>
          <a:off x="302260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114</xdr:row>
      <xdr:rowOff>0</xdr:rowOff>
    </xdr:from>
    <xdr:ext cx="167005" cy="457200"/>
    <xdr:sp macro="" textlink="">
      <xdr:nvSpPr>
        <xdr:cNvPr id="3" name="Text Box 13">
          <a:extLst>
            <a:ext uri="{FF2B5EF4-FFF2-40B4-BE49-F238E27FC236}">
              <a16:creationId xmlns:a16="http://schemas.microsoft.com/office/drawing/2014/main" id="{E62F716D-E7C4-4A4F-B7D2-082096FF01B5}"/>
            </a:ext>
          </a:extLst>
        </xdr:cNvPr>
        <xdr:cNvSpPr txBox="1">
          <a:spLocks noChangeArrowheads="1"/>
        </xdr:cNvSpPr>
      </xdr:nvSpPr>
      <xdr:spPr bwMode="auto">
        <a:xfrm>
          <a:off x="111569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114</xdr:row>
      <xdr:rowOff>0</xdr:rowOff>
    </xdr:from>
    <xdr:ext cx="167005" cy="457200"/>
    <xdr:sp macro="" textlink="">
      <xdr:nvSpPr>
        <xdr:cNvPr id="4" name="Text Box 13">
          <a:extLst>
            <a:ext uri="{FF2B5EF4-FFF2-40B4-BE49-F238E27FC236}">
              <a16:creationId xmlns:a16="http://schemas.microsoft.com/office/drawing/2014/main" id="{32F8E05E-F291-499B-96E9-A09A5DA62C02}"/>
            </a:ext>
          </a:extLst>
        </xdr:cNvPr>
        <xdr:cNvSpPr txBox="1">
          <a:spLocks noChangeArrowheads="1"/>
        </xdr:cNvSpPr>
      </xdr:nvSpPr>
      <xdr:spPr bwMode="auto">
        <a:xfrm>
          <a:off x="111569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114</xdr:row>
      <xdr:rowOff>0</xdr:rowOff>
    </xdr:from>
    <xdr:ext cx="152400" cy="457200"/>
    <xdr:sp macro="" textlink="">
      <xdr:nvSpPr>
        <xdr:cNvPr id="5" name="Text Box 13">
          <a:extLst>
            <a:ext uri="{FF2B5EF4-FFF2-40B4-BE49-F238E27FC236}">
              <a16:creationId xmlns:a16="http://schemas.microsoft.com/office/drawing/2014/main" id="{26D60829-15D6-4959-89F4-0DD5866B16A4}"/>
            </a:ext>
          </a:extLst>
        </xdr:cNvPr>
        <xdr:cNvSpPr txBox="1">
          <a:spLocks noChangeArrowheads="1"/>
        </xdr:cNvSpPr>
      </xdr:nvSpPr>
      <xdr:spPr bwMode="auto">
        <a:xfrm>
          <a:off x="1113668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114</xdr:row>
      <xdr:rowOff>0</xdr:rowOff>
    </xdr:from>
    <xdr:ext cx="168910" cy="457200"/>
    <xdr:sp macro="" textlink="">
      <xdr:nvSpPr>
        <xdr:cNvPr id="6" name="Text Box 9">
          <a:extLst>
            <a:ext uri="{FF2B5EF4-FFF2-40B4-BE49-F238E27FC236}">
              <a16:creationId xmlns:a16="http://schemas.microsoft.com/office/drawing/2014/main" id="{304AF67E-38E6-490C-8F65-22E19A8F92EA}"/>
            </a:ext>
          </a:extLst>
        </xdr:cNvPr>
        <xdr:cNvSpPr txBox="1">
          <a:spLocks noChangeArrowheads="1"/>
        </xdr:cNvSpPr>
      </xdr:nvSpPr>
      <xdr:spPr bwMode="auto">
        <a:xfrm>
          <a:off x="305320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111</xdr:row>
      <xdr:rowOff>10092</xdr:rowOff>
    </xdr:from>
    <xdr:to>
      <xdr:col>2</xdr:col>
      <xdr:colOff>210819</xdr:colOff>
      <xdr:row>111</xdr:row>
      <xdr:rowOff>149302</xdr:rowOff>
    </xdr:to>
    <xdr:pic>
      <xdr:nvPicPr>
        <xdr:cNvPr id="7" name="Picture 6">
          <a:extLst>
            <a:ext uri="{FF2B5EF4-FFF2-40B4-BE49-F238E27FC236}">
              <a16:creationId xmlns:a16="http://schemas.microsoft.com/office/drawing/2014/main" id="{3A1B8E5C-F077-47DC-9297-967DBA6B4E5D}"/>
            </a:ext>
          </a:extLst>
        </xdr:cNvPr>
        <xdr:cNvPicPr>
          <a:picLocks noChangeAspect="1"/>
        </xdr:cNvPicPr>
      </xdr:nvPicPr>
      <xdr:blipFill>
        <a:blip xmlns:r="http://schemas.openxmlformats.org/officeDocument/2006/relationships" r:embed="rId1"/>
        <a:stretch>
          <a:fillRect/>
        </a:stretch>
      </xdr:blipFill>
      <xdr:spPr>
        <a:xfrm>
          <a:off x="3060700" y="20266592"/>
          <a:ext cx="158749" cy="139210"/>
        </a:xfrm>
        <a:prstGeom prst="rect">
          <a:avLst/>
        </a:prstGeom>
      </xdr:spPr>
    </xdr:pic>
    <xdr:clientData/>
  </xdr:twoCellAnchor>
  <xdr:twoCellAnchor editAs="oneCell">
    <xdr:from>
      <xdr:col>3</xdr:col>
      <xdr:colOff>13710</xdr:colOff>
      <xdr:row>111</xdr:row>
      <xdr:rowOff>13986</xdr:rowOff>
    </xdr:from>
    <xdr:to>
      <xdr:col>3</xdr:col>
      <xdr:colOff>154322</xdr:colOff>
      <xdr:row>111</xdr:row>
      <xdr:rowOff>169236</xdr:rowOff>
    </xdr:to>
    <xdr:pic>
      <xdr:nvPicPr>
        <xdr:cNvPr id="8" name="Picture 7">
          <a:extLst>
            <a:ext uri="{FF2B5EF4-FFF2-40B4-BE49-F238E27FC236}">
              <a16:creationId xmlns:a16="http://schemas.microsoft.com/office/drawing/2014/main" id="{AAF4F206-DC1F-4285-B64A-3493D464C540}"/>
            </a:ext>
          </a:extLst>
        </xdr:cNvPr>
        <xdr:cNvPicPr>
          <a:picLocks noChangeAspect="1"/>
        </xdr:cNvPicPr>
      </xdr:nvPicPr>
      <xdr:blipFill>
        <a:blip xmlns:r="http://schemas.openxmlformats.org/officeDocument/2006/relationships" r:embed="rId2"/>
        <a:stretch>
          <a:fillRect/>
        </a:stretch>
      </xdr:blipFill>
      <xdr:spPr>
        <a:xfrm>
          <a:off x="4452360" y="20270486"/>
          <a:ext cx="140612" cy="145725"/>
        </a:xfrm>
        <a:prstGeom prst="rect">
          <a:avLst/>
        </a:prstGeom>
      </xdr:spPr>
    </xdr:pic>
    <xdr:clientData/>
  </xdr:twoCellAnchor>
  <xdr:twoCellAnchor editAs="oneCell">
    <xdr:from>
      <xdr:col>4</xdr:col>
      <xdr:colOff>44450</xdr:colOff>
      <xdr:row>111</xdr:row>
      <xdr:rowOff>19130</xdr:rowOff>
    </xdr:from>
    <xdr:to>
      <xdr:col>4</xdr:col>
      <xdr:colOff>208280</xdr:colOff>
      <xdr:row>112</xdr:row>
      <xdr:rowOff>899</xdr:rowOff>
    </xdr:to>
    <xdr:pic>
      <xdr:nvPicPr>
        <xdr:cNvPr id="9" name="Picture 8">
          <a:extLst>
            <a:ext uri="{FF2B5EF4-FFF2-40B4-BE49-F238E27FC236}">
              <a16:creationId xmlns:a16="http://schemas.microsoft.com/office/drawing/2014/main" id="{286E31DC-CD1E-4A36-817C-DCFD8B7C7212}"/>
            </a:ext>
          </a:extLst>
        </xdr:cNvPr>
        <xdr:cNvPicPr>
          <a:picLocks noChangeAspect="1"/>
        </xdr:cNvPicPr>
      </xdr:nvPicPr>
      <xdr:blipFill>
        <a:blip xmlns:r="http://schemas.openxmlformats.org/officeDocument/2006/relationships" r:embed="rId3"/>
        <a:stretch>
          <a:fillRect/>
        </a:stretch>
      </xdr:blipFill>
      <xdr:spPr>
        <a:xfrm flipV="1">
          <a:off x="5861050" y="20275630"/>
          <a:ext cx="171450" cy="165918"/>
        </a:xfrm>
        <a:prstGeom prst="rect">
          <a:avLst/>
        </a:prstGeom>
      </xdr:spPr>
    </xdr:pic>
    <xdr:clientData/>
  </xdr:twoCellAnchor>
  <xdr:oneCellAnchor>
    <xdr:from>
      <xdr:col>1</xdr:col>
      <xdr:colOff>20248</xdr:colOff>
      <xdr:row>111</xdr:row>
      <xdr:rowOff>8127</xdr:rowOff>
    </xdr:from>
    <xdr:ext cx="199069" cy="170387"/>
    <xdr:pic>
      <xdr:nvPicPr>
        <xdr:cNvPr id="10" name="Picture 9">
          <a:extLst>
            <a:ext uri="{FF2B5EF4-FFF2-40B4-BE49-F238E27FC236}">
              <a16:creationId xmlns:a16="http://schemas.microsoft.com/office/drawing/2014/main" id="{41E0C92F-2098-417E-BD57-64AA17E8D869}"/>
            </a:ext>
          </a:extLst>
        </xdr:cNvPr>
        <xdr:cNvPicPr>
          <a:picLocks noChangeAspect="1"/>
        </xdr:cNvPicPr>
      </xdr:nvPicPr>
      <xdr:blipFill>
        <a:blip xmlns:r="http://schemas.openxmlformats.org/officeDocument/2006/relationships" r:embed="rId4"/>
        <a:stretch>
          <a:fillRect/>
        </a:stretch>
      </xdr:blipFill>
      <xdr:spPr>
        <a:xfrm>
          <a:off x="1487098" y="20264627"/>
          <a:ext cx="199069" cy="170387"/>
        </a:xfrm>
        <a:prstGeom prst="rect">
          <a:avLst/>
        </a:prstGeom>
      </xdr:spPr>
    </xdr:pic>
    <xdr:clientData/>
  </xdr:oneCellAnchor>
  <xdr:twoCellAnchor editAs="oneCell">
    <xdr:from>
      <xdr:col>0</xdr:col>
      <xdr:colOff>0</xdr:colOff>
      <xdr:row>111</xdr:row>
      <xdr:rowOff>7863</xdr:rowOff>
    </xdr:from>
    <xdr:to>
      <xdr:col>0</xdr:col>
      <xdr:colOff>208786</xdr:colOff>
      <xdr:row>112</xdr:row>
      <xdr:rowOff>249</xdr:rowOff>
    </xdr:to>
    <xdr:pic>
      <xdr:nvPicPr>
        <xdr:cNvPr id="11" name="Picture 10">
          <a:extLst>
            <a:ext uri="{FF2B5EF4-FFF2-40B4-BE49-F238E27FC236}">
              <a16:creationId xmlns:a16="http://schemas.microsoft.com/office/drawing/2014/main" id="{6CC9393D-ADA8-444A-82D6-9091B701FC2F}"/>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0</xdr:col>
      <xdr:colOff>30010</xdr:colOff>
      <xdr:row>42</xdr:row>
      <xdr:rowOff>25935</xdr:rowOff>
    </xdr:from>
    <xdr:to>
      <xdr:col>2</xdr:col>
      <xdr:colOff>329870</xdr:colOff>
      <xdr:row>56</xdr:row>
      <xdr:rowOff>158750</xdr:rowOff>
    </xdr:to>
    <xdr:grpSp>
      <xdr:nvGrpSpPr>
        <xdr:cNvPr id="12" name="Group 11">
          <a:extLst>
            <a:ext uri="{FF2B5EF4-FFF2-40B4-BE49-F238E27FC236}">
              <a16:creationId xmlns:a16="http://schemas.microsoft.com/office/drawing/2014/main" id="{4F725630-E8BE-4A3D-A17E-EC5DFE708EAB}"/>
            </a:ext>
          </a:extLst>
        </xdr:cNvPr>
        <xdr:cNvGrpSpPr/>
      </xdr:nvGrpSpPr>
      <xdr:grpSpPr>
        <a:xfrm>
          <a:off x="30010" y="9188985"/>
          <a:ext cx="3109735" cy="2666465"/>
          <a:chOff x="77635" y="5406915"/>
          <a:chExt cx="2829628" cy="2158877"/>
        </a:xfrm>
      </xdr:grpSpPr>
      <xdr:graphicFrame macro="">
        <xdr:nvGraphicFramePr>
          <xdr:cNvPr id="13" name="Chart 12">
            <a:extLst>
              <a:ext uri="{FF2B5EF4-FFF2-40B4-BE49-F238E27FC236}">
                <a16:creationId xmlns:a16="http://schemas.microsoft.com/office/drawing/2014/main" id="{2789C343-D65F-14EF-78DE-D90E03EE419A}"/>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14" name="TextBox 13">
            <a:extLst>
              <a:ext uri="{FF2B5EF4-FFF2-40B4-BE49-F238E27FC236}">
                <a16:creationId xmlns:a16="http://schemas.microsoft.com/office/drawing/2014/main" id="{7AFFF60A-9AC0-2D70-C58A-2F4596E64D93}"/>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Ontime supply</a:t>
            </a:fld>
            <a:endParaRPr lang="en-IN" sz="1800" b="1"/>
          </a:p>
        </xdr:txBody>
      </xdr:sp>
    </xdr:grpSp>
    <xdr:clientData/>
  </xdr:twoCellAnchor>
  <xdr:twoCellAnchor>
    <xdr:from>
      <xdr:col>2</xdr:col>
      <xdr:colOff>420077</xdr:colOff>
      <xdr:row>42</xdr:row>
      <xdr:rowOff>68385</xdr:rowOff>
    </xdr:from>
    <xdr:to>
      <xdr:col>4</xdr:col>
      <xdr:colOff>1212272</xdr:colOff>
      <xdr:row>56</xdr:row>
      <xdr:rowOff>158131</xdr:rowOff>
    </xdr:to>
    <xdr:grpSp>
      <xdr:nvGrpSpPr>
        <xdr:cNvPr id="401" name="Group 14">
          <a:extLst>
            <a:ext uri="{FF2B5EF4-FFF2-40B4-BE49-F238E27FC236}">
              <a16:creationId xmlns:a16="http://schemas.microsoft.com/office/drawing/2014/main" id="{740AAA5C-C97F-4665-A7EE-AF4B132FB367}"/>
            </a:ext>
          </a:extLst>
        </xdr:cNvPr>
        <xdr:cNvGrpSpPr/>
      </xdr:nvGrpSpPr>
      <xdr:grpSpPr>
        <a:xfrm>
          <a:off x="3229952" y="9231435"/>
          <a:ext cx="2125695" cy="2623396"/>
          <a:chOff x="2905974" y="5419664"/>
          <a:chExt cx="3092518" cy="2147057"/>
        </a:xfrm>
      </xdr:grpSpPr>
      <xdr:graphicFrame macro="">
        <xdr:nvGraphicFramePr>
          <xdr:cNvPr id="402" name="Chart 15">
            <a:extLst>
              <a:ext uri="{FF2B5EF4-FFF2-40B4-BE49-F238E27FC236}">
                <a16:creationId xmlns:a16="http://schemas.microsoft.com/office/drawing/2014/main" id="{4AB2E444-2DB0-7A76-AA98-60CC877BB34F}"/>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403" name="TextBox 16">
            <a:extLst>
              <a:ext uri="{FF2B5EF4-FFF2-40B4-BE49-F238E27FC236}">
                <a16:creationId xmlns:a16="http://schemas.microsoft.com/office/drawing/2014/main" id="{2BBBA323-BF63-C9F5-42D1-C5EA4485444F}"/>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Production units</a:t>
            </a:fld>
            <a:endParaRPr lang="en-IN" sz="1800" b="1"/>
          </a:p>
        </xdr:txBody>
      </xdr:sp>
    </xdr:grpSp>
    <xdr:clientData/>
  </xdr:twoCellAnchor>
  <xdr:twoCellAnchor>
    <xdr:from>
      <xdr:col>5</xdr:col>
      <xdr:colOff>39687</xdr:colOff>
      <xdr:row>42</xdr:row>
      <xdr:rowOff>79375</xdr:rowOff>
    </xdr:from>
    <xdr:to>
      <xdr:col>8</xdr:col>
      <xdr:colOff>156308</xdr:colOff>
      <xdr:row>57</xdr:row>
      <xdr:rowOff>0</xdr:rowOff>
    </xdr:to>
    <xdr:grpSp>
      <xdr:nvGrpSpPr>
        <xdr:cNvPr id="48" name="Group 17">
          <a:extLst>
            <a:ext uri="{FF2B5EF4-FFF2-40B4-BE49-F238E27FC236}">
              <a16:creationId xmlns:a16="http://schemas.microsoft.com/office/drawing/2014/main" id="{1F5D9F36-1BFF-4821-8FE0-8C5A6F401C76}"/>
            </a:ext>
          </a:extLst>
        </xdr:cNvPr>
        <xdr:cNvGrpSpPr/>
      </xdr:nvGrpSpPr>
      <xdr:grpSpPr>
        <a:xfrm>
          <a:off x="5392737" y="9242425"/>
          <a:ext cx="2926496" cy="2635250"/>
          <a:chOff x="5810561" y="5397766"/>
          <a:chExt cx="2667443" cy="2269965"/>
        </a:xfrm>
      </xdr:grpSpPr>
      <xdr:graphicFrame macro="">
        <xdr:nvGraphicFramePr>
          <xdr:cNvPr id="49" name="Chart 18">
            <a:extLst>
              <a:ext uri="{FF2B5EF4-FFF2-40B4-BE49-F238E27FC236}">
                <a16:creationId xmlns:a16="http://schemas.microsoft.com/office/drawing/2014/main" id="{426A1630-671A-A0E8-93F0-77D39A6A4C21}"/>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50" name="TextBox 19">
            <a:extLst>
              <a:ext uri="{FF2B5EF4-FFF2-40B4-BE49-F238E27FC236}">
                <a16:creationId xmlns:a16="http://schemas.microsoft.com/office/drawing/2014/main" id="{A2C3F7A3-552D-E628-65BB-019E0620C306}"/>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CTB (12 weeks)</a:t>
            </a:fld>
            <a:endParaRPr lang="en-IN" sz="1800" b="1"/>
          </a:p>
        </xdr:txBody>
      </xdr:sp>
    </xdr:grpSp>
    <xdr:clientData/>
  </xdr:twoCellAnchor>
  <xdr:twoCellAnchor>
    <xdr:from>
      <xdr:col>8</xdr:col>
      <xdr:colOff>244231</xdr:colOff>
      <xdr:row>42</xdr:row>
      <xdr:rowOff>39077</xdr:rowOff>
    </xdr:from>
    <xdr:to>
      <xdr:col>12</xdr:col>
      <xdr:colOff>371230</xdr:colOff>
      <xdr:row>57</xdr:row>
      <xdr:rowOff>156307</xdr:rowOff>
    </xdr:to>
    <xdr:grpSp>
      <xdr:nvGrpSpPr>
        <xdr:cNvPr id="60" name="Group 20">
          <a:extLst>
            <a:ext uri="{FF2B5EF4-FFF2-40B4-BE49-F238E27FC236}">
              <a16:creationId xmlns:a16="http://schemas.microsoft.com/office/drawing/2014/main" id="{2F41078F-E9BA-445E-914C-FFD0659D7745}"/>
            </a:ext>
          </a:extLst>
        </xdr:cNvPr>
        <xdr:cNvGrpSpPr/>
      </xdr:nvGrpSpPr>
      <xdr:grpSpPr>
        <a:xfrm>
          <a:off x="8407156" y="9202127"/>
          <a:ext cx="3051174" cy="2831855"/>
          <a:chOff x="8567036" y="5412365"/>
          <a:chExt cx="2683519" cy="2171271"/>
        </a:xfrm>
      </xdr:grpSpPr>
      <xdr:graphicFrame macro="">
        <xdr:nvGraphicFramePr>
          <xdr:cNvPr id="61" name="Chart 21">
            <a:extLst>
              <a:ext uri="{FF2B5EF4-FFF2-40B4-BE49-F238E27FC236}">
                <a16:creationId xmlns:a16="http://schemas.microsoft.com/office/drawing/2014/main" id="{21181617-BDC4-2847-A3D1-F8353B1B8F82}"/>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62" name="TextBox 22">
            <a:extLst>
              <a:ext uri="{FF2B5EF4-FFF2-40B4-BE49-F238E27FC236}">
                <a16:creationId xmlns:a16="http://schemas.microsoft.com/office/drawing/2014/main" id="{2CFEF053-A131-3686-75F6-FAFD92DE56E3}"/>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0CBC7D-B506-4CF5-A661-B4090860F931}" type="TxLink">
              <a:rPr lang="en-US" sz="1200" b="1" i="0" u="none" strike="noStrike">
                <a:solidFill>
                  <a:srgbClr val="000000"/>
                </a:solidFill>
                <a:latin typeface="Calibri"/>
                <a:ea typeface="Calibri"/>
                <a:cs typeface="Calibri"/>
              </a:rPr>
              <a:pPr algn="ctr"/>
              <a:t>OOH % </a:t>
            </a:fld>
            <a:endParaRPr lang="en-IN" sz="1800" b="1"/>
          </a:p>
        </xdr:txBody>
      </xdr:sp>
    </xdr:grpSp>
    <xdr:clientData/>
  </xdr:twoCellAnchor>
  <xdr:twoCellAnchor>
    <xdr:from>
      <xdr:col>12</xdr:col>
      <xdr:colOff>439615</xdr:colOff>
      <xdr:row>42</xdr:row>
      <xdr:rowOff>39077</xdr:rowOff>
    </xdr:from>
    <xdr:to>
      <xdr:col>16</xdr:col>
      <xdr:colOff>621568</xdr:colOff>
      <xdr:row>58</xdr:row>
      <xdr:rowOff>0</xdr:rowOff>
    </xdr:to>
    <xdr:grpSp>
      <xdr:nvGrpSpPr>
        <xdr:cNvPr id="362" name="Group 23">
          <a:extLst>
            <a:ext uri="{FF2B5EF4-FFF2-40B4-BE49-F238E27FC236}">
              <a16:creationId xmlns:a16="http://schemas.microsoft.com/office/drawing/2014/main" id="{8C31DA69-F331-40B9-97D5-F8ADEE5B2E74}"/>
            </a:ext>
          </a:extLst>
        </xdr:cNvPr>
        <xdr:cNvGrpSpPr/>
      </xdr:nvGrpSpPr>
      <xdr:grpSpPr>
        <a:xfrm>
          <a:off x="11526715" y="9202127"/>
          <a:ext cx="3458553" cy="2856523"/>
          <a:chOff x="11292890" y="5778019"/>
          <a:chExt cx="2950193" cy="2149373"/>
        </a:xfrm>
      </xdr:grpSpPr>
      <xdr:graphicFrame macro="">
        <xdr:nvGraphicFramePr>
          <xdr:cNvPr id="363" name="Chart 24">
            <a:extLst>
              <a:ext uri="{FF2B5EF4-FFF2-40B4-BE49-F238E27FC236}">
                <a16:creationId xmlns:a16="http://schemas.microsoft.com/office/drawing/2014/main" id="{185BAE3B-9DA2-66C7-7ADE-05E80A3BB048}"/>
              </a:ext>
            </a:extLst>
          </xdr:cNvPr>
          <xdr:cNvGraphicFramePr/>
        </xdr:nvGraphicFramePr>
        <xdr:xfrm>
          <a:off x="11292890" y="5778019"/>
          <a:ext cx="2950193" cy="2149373"/>
        </xdr:xfrm>
        <a:graphic>
          <a:graphicData uri="http://schemas.openxmlformats.org/drawingml/2006/chart">
            <c:chart xmlns:c="http://schemas.openxmlformats.org/drawingml/2006/chart" xmlns:r="http://schemas.openxmlformats.org/officeDocument/2006/relationships" r:id="rId10"/>
          </a:graphicData>
        </a:graphic>
      </xdr:graphicFrame>
      <xdr:sp macro="" textlink="$A$22">
        <xdr:nvSpPr>
          <xdr:cNvPr id="364" name="TextBox 25">
            <a:extLst>
              <a:ext uri="{FF2B5EF4-FFF2-40B4-BE49-F238E27FC236}">
                <a16:creationId xmlns:a16="http://schemas.microsoft.com/office/drawing/2014/main" id="{D898CA57-02E7-2D31-7437-CF8A4A8D190D}"/>
              </a:ext>
            </a:extLst>
          </xdr:cNvPr>
          <xdr:cNvSpPr txBox="1"/>
        </xdr:nvSpPr>
        <xdr:spPr>
          <a:xfrm>
            <a:off x="11509061" y="5792438"/>
            <a:ext cx="2511855" cy="23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E59D4C-022E-44B1-88EC-EAABEA128431}" type="TxLink">
              <a:rPr lang="en-US" sz="1200" b="1" i="0" u="none" strike="noStrike">
                <a:solidFill>
                  <a:srgbClr val="000000"/>
                </a:solidFill>
                <a:latin typeface="Calibri"/>
                <a:ea typeface="Calibri"/>
                <a:cs typeface="Calibri"/>
              </a:rPr>
              <a:pPr algn="ctr"/>
              <a:t>Market Inventory  </a:t>
            </a:fld>
            <a:endParaRPr lang="en-IN" sz="1800" b="1"/>
          </a:p>
        </xdr:txBody>
      </xdr:sp>
    </xdr:grpSp>
    <xdr:clientData/>
  </xdr:twoCellAnchor>
  <xdr:twoCellAnchor>
    <xdr:from>
      <xdr:col>16</xdr:col>
      <xdr:colOff>693616</xdr:colOff>
      <xdr:row>41</xdr:row>
      <xdr:rowOff>254000</xdr:rowOff>
    </xdr:from>
    <xdr:to>
      <xdr:col>20</xdr:col>
      <xdr:colOff>654538</xdr:colOff>
      <xdr:row>57</xdr:row>
      <xdr:rowOff>166076</xdr:rowOff>
    </xdr:to>
    <xdr:grpSp>
      <xdr:nvGrpSpPr>
        <xdr:cNvPr id="57" name="Group 26">
          <a:extLst>
            <a:ext uri="{FF2B5EF4-FFF2-40B4-BE49-F238E27FC236}">
              <a16:creationId xmlns:a16="http://schemas.microsoft.com/office/drawing/2014/main" id="{B497509F-8A47-4678-95AA-7F5D56B21359}"/>
            </a:ext>
          </a:extLst>
        </xdr:cNvPr>
        <xdr:cNvGrpSpPr/>
      </xdr:nvGrpSpPr>
      <xdr:grpSpPr>
        <a:xfrm>
          <a:off x="15057316" y="9150350"/>
          <a:ext cx="3161322" cy="2893401"/>
          <a:chOff x="14383239" y="5433345"/>
          <a:chExt cx="2349106" cy="2083197"/>
        </a:xfrm>
      </xdr:grpSpPr>
      <xdr:graphicFrame macro="">
        <xdr:nvGraphicFramePr>
          <xdr:cNvPr id="58" name="Chart 27">
            <a:extLst>
              <a:ext uri="{FF2B5EF4-FFF2-40B4-BE49-F238E27FC236}">
                <a16:creationId xmlns:a16="http://schemas.microsoft.com/office/drawing/2014/main" id="{77BC7682-6265-C56A-730F-05793D2768E3}"/>
              </a:ext>
            </a:extLst>
          </xdr:cNvPr>
          <xdr:cNvGraphicFramePr/>
        </xdr:nvGraphicFramePr>
        <xdr:xfrm>
          <a:off x="14383239" y="5433345"/>
          <a:ext cx="2349106" cy="2083197"/>
        </xdr:xfrm>
        <a:graphic>
          <a:graphicData uri="http://schemas.openxmlformats.org/drawingml/2006/chart">
            <c:chart xmlns:c="http://schemas.openxmlformats.org/drawingml/2006/chart" xmlns:r="http://schemas.openxmlformats.org/officeDocument/2006/relationships" r:id="rId11"/>
          </a:graphicData>
        </a:graphic>
      </xdr:graphicFrame>
      <xdr:sp macro="" textlink="$A$24">
        <xdr:nvSpPr>
          <xdr:cNvPr id="59" name="TextBox 28">
            <a:extLst>
              <a:ext uri="{FF2B5EF4-FFF2-40B4-BE49-F238E27FC236}">
                <a16:creationId xmlns:a16="http://schemas.microsoft.com/office/drawing/2014/main" id="{CE7B2902-5868-05BF-C125-E743891E0677}"/>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A950B5-7123-4044-B4C3-F7177EBD93F4}" type="TxLink">
              <a:rPr lang="en-US" sz="1200" b="1" i="0" u="none" strike="noStrike">
                <a:solidFill>
                  <a:srgbClr val="000000"/>
                </a:solidFill>
                <a:latin typeface="Calibri"/>
                <a:ea typeface="Calibri"/>
                <a:cs typeface="Calibri"/>
              </a:rPr>
              <a:pPr algn="ctr"/>
              <a:t>CDD push out / month</a:t>
            </a:fld>
            <a:endParaRPr lang="en-IN" sz="1800" b="1"/>
          </a:p>
        </xdr:txBody>
      </xdr:sp>
    </xdr:grpSp>
    <xdr:clientData/>
  </xdr:twoCellAnchor>
  <xdr:twoCellAnchor>
    <xdr:from>
      <xdr:col>0</xdr:col>
      <xdr:colOff>0</xdr:colOff>
      <xdr:row>80</xdr:row>
      <xdr:rowOff>23585</xdr:rowOff>
    </xdr:from>
    <xdr:to>
      <xdr:col>2</xdr:col>
      <xdr:colOff>1183765</xdr:colOff>
      <xdr:row>94</xdr:row>
      <xdr:rowOff>109753</xdr:rowOff>
    </xdr:to>
    <xdr:grpSp>
      <xdr:nvGrpSpPr>
        <xdr:cNvPr id="384" name="Group 29">
          <a:extLst>
            <a:ext uri="{FF2B5EF4-FFF2-40B4-BE49-F238E27FC236}">
              <a16:creationId xmlns:a16="http://schemas.microsoft.com/office/drawing/2014/main" id="{ADC58025-8AB5-4964-877B-A3DFA3CFAE2F}"/>
            </a:ext>
          </a:extLst>
        </xdr:cNvPr>
        <xdr:cNvGrpSpPr/>
      </xdr:nvGrpSpPr>
      <xdr:grpSpPr>
        <a:xfrm>
          <a:off x="0" y="18949760"/>
          <a:ext cx="3422140"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385" name="Chart 30">
                <a:extLst>
                  <a:ext uri="{FF2B5EF4-FFF2-40B4-BE49-F238E27FC236}">
                    <a16:creationId xmlns:a16="http://schemas.microsoft.com/office/drawing/2014/main" id="{721D791A-AABD-1E93-EDB7-9A1EE5CAB365}"/>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3">
        <xdr:nvSpPr>
          <xdr:cNvPr id="386" name="TextBox 31">
            <a:extLst>
              <a:ext uri="{FF2B5EF4-FFF2-40B4-BE49-F238E27FC236}">
                <a16:creationId xmlns:a16="http://schemas.microsoft.com/office/drawing/2014/main" id="{E6A3D4B0-D779-B3D3-853E-54944F0FA1B3}"/>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Production units</a:t>
            </a:fld>
            <a:endParaRPr lang="en-IN" sz="1600" b="1"/>
          </a:p>
        </xdr:txBody>
      </xdr:sp>
    </xdr:grpSp>
    <xdr:clientData/>
  </xdr:twoCellAnchor>
  <xdr:twoCellAnchor>
    <xdr:from>
      <xdr:col>2</xdr:col>
      <xdr:colOff>1249382</xdr:colOff>
      <xdr:row>79</xdr:row>
      <xdr:rowOff>257956</xdr:rowOff>
    </xdr:from>
    <xdr:to>
      <xdr:col>5</xdr:col>
      <xdr:colOff>932901</xdr:colOff>
      <xdr:row>94</xdr:row>
      <xdr:rowOff>125432</xdr:rowOff>
    </xdr:to>
    <xdr:grpSp>
      <xdr:nvGrpSpPr>
        <xdr:cNvPr id="381" name="Group 32">
          <a:extLst>
            <a:ext uri="{FF2B5EF4-FFF2-40B4-BE49-F238E27FC236}">
              <a16:creationId xmlns:a16="http://schemas.microsoft.com/office/drawing/2014/main" id="{12FEE284-65A6-4D0F-B1F4-EA68A102F94B}"/>
            </a:ext>
          </a:extLst>
        </xdr:cNvPr>
        <xdr:cNvGrpSpPr/>
      </xdr:nvGrpSpPr>
      <xdr:grpSpPr>
        <a:xfrm>
          <a:off x="3421082" y="18917431"/>
          <a:ext cx="2798194"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382" name="Chart 33">
                <a:extLst>
                  <a:ext uri="{FF2B5EF4-FFF2-40B4-BE49-F238E27FC236}">
                    <a16:creationId xmlns:a16="http://schemas.microsoft.com/office/drawing/2014/main" id="{6E9E7CF1-DFF9-C23C-192D-2826433E62DD}"/>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6">
        <xdr:nvSpPr>
          <xdr:cNvPr id="383" name="TextBox 34">
            <a:extLst>
              <a:ext uri="{FF2B5EF4-FFF2-40B4-BE49-F238E27FC236}">
                <a16:creationId xmlns:a16="http://schemas.microsoft.com/office/drawing/2014/main" id="{EBB9EB73-3917-A2A4-FDED-76A0BD002DB6}"/>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Inventory</a:t>
            </a:fld>
            <a:endParaRPr lang="en-IN" sz="1600" b="1"/>
          </a:p>
        </xdr:txBody>
      </xdr:sp>
    </xdr:grpSp>
    <xdr:clientData/>
  </xdr:twoCellAnchor>
  <xdr:twoCellAnchor>
    <xdr:from>
      <xdr:col>5</xdr:col>
      <xdr:colOff>1003064</xdr:colOff>
      <xdr:row>80</xdr:row>
      <xdr:rowOff>15312</xdr:rowOff>
    </xdr:from>
    <xdr:to>
      <xdr:col>9</xdr:col>
      <xdr:colOff>611482</xdr:colOff>
      <xdr:row>94</xdr:row>
      <xdr:rowOff>125432</xdr:rowOff>
    </xdr:to>
    <xdr:grpSp>
      <xdr:nvGrpSpPr>
        <xdr:cNvPr id="378" name="Group 35">
          <a:extLst>
            <a:ext uri="{FF2B5EF4-FFF2-40B4-BE49-F238E27FC236}">
              <a16:creationId xmlns:a16="http://schemas.microsoft.com/office/drawing/2014/main" id="{A30E1434-4E9F-47B4-84D8-EA6258CFD238}"/>
            </a:ext>
          </a:extLst>
        </xdr:cNvPr>
        <xdr:cNvGrpSpPr/>
      </xdr:nvGrpSpPr>
      <xdr:grpSpPr>
        <a:xfrm>
          <a:off x="6222764" y="18941487"/>
          <a:ext cx="3161243"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379" name="Chart 36">
                <a:extLst>
                  <a:ext uri="{FF2B5EF4-FFF2-40B4-BE49-F238E27FC236}">
                    <a16:creationId xmlns:a16="http://schemas.microsoft.com/office/drawing/2014/main" id="{E9A1470F-1F06-66DD-35EE-90AC0AED58BC}"/>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9">
        <xdr:nvSpPr>
          <xdr:cNvPr id="380" name="TextBox 37">
            <a:extLst>
              <a:ext uri="{FF2B5EF4-FFF2-40B4-BE49-F238E27FC236}">
                <a16:creationId xmlns:a16="http://schemas.microsoft.com/office/drawing/2014/main" id="{3DC4C8AE-75C3-9423-22E6-9579CBAEC51F}"/>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OOH% to revunue in Qtr.</a:t>
            </a:fld>
            <a:endParaRPr lang="en-IN" sz="1600" b="1"/>
          </a:p>
        </xdr:txBody>
      </xdr:sp>
    </xdr:grpSp>
    <xdr:clientData/>
  </xdr:twoCellAnchor>
  <xdr:twoCellAnchor>
    <xdr:from>
      <xdr:col>9</xdr:col>
      <xdr:colOff>658518</xdr:colOff>
      <xdr:row>79</xdr:row>
      <xdr:rowOff>266376</xdr:rowOff>
    </xdr:from>
    <xdr:to>
      <xdr:col>13</xdr:col>
      <xdr:colOff>7762</xdr:colOff>
      <xdr:row>94</xdr:row>
      <xdr:rowOff>94074</xdr:rowOff>
    </xdr:to>
    <xdr:grpSp>
      <xdr:nvGrpSpPr>
        <xdr:cNvPr id="375" name="Group 38">
          <a:extLst>
            <a:ext uri="{FF2B5EF4-FFF2-40B4-BE49-F238E27FC236}">
              <a16:creationId xmlns:a16="http://schemas.microsoft.com/office/drawing/2014/main" id="{CE668728-8B86-48E3-8B56-D2B546402A94}"/>
            </a:ext>
          </a:extLst>
        </xdr:cNvPr>
        <xdr:cNvGrpSpPr/>
      </xdr:nvGrpSpPr>
      <xdr:grpSpPr>
        <a:xfrm>
          <a:off x="9431043" y="18925851"/>
          <a:ext cx="2625844"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376" name="Chart 39">
                <a:extLst>
                  <a:ext uri="{FF2B5EF4-FFF2-40B4-BE49-F238E27FC236}">
                    <a16:creationId xmlns:a16="http://schemas.microsoft.com/office/drawing/2014/main" id="{69509969-B6FE-99DC-6DAF-45813D8DBD11}"/>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72">
        <xdr:nvSpPr>
          <xdr:cNvPr id="377" name="TextBox 40">
            <a:extLst>
              <a:ext uri="{FF2B5EF4-FFF2-40B4-BE49-F238E27FC236}">
                <a16:creationId xmlns:a16="http://schemas.microsoft.com/office/drawing/2014/main" id="{A956EE84-E01D-6D06-8117-E23162D50226}"/>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13</xdr:col>
      <xdr:colOff>54876</xdr:colOff>
      <xdr:row>79</xdr:row>
      <xdr:rowOff>233461</xdr:rowOff>
    </xdr:from>
    <xdr:to>
      <xdr:col>16</xdr:col>
      <xdr:colOff>266543</xdr:colOff>
      <xdr:row>94</xdr:row>
      <xdr:rowOff>94074</xdr:rowOff>
    </xdr:to>
    <xdr:grpSp>
      <xdr:nvGrpSpPr>
        <xdr:cNvPr id="390" name="Group 41">
          <a:extLst>
            <a:ext uri="{FF2B5EF4-FFF2-40B4-BE49-F238E27FC236}">
              <a16:creationId xmlns:a16="http://schemas.microsoft.com/office/drawing/2014/main" id="{D1424B63-8F44-45F1-A910-147B5FB7517F}"/>
            </a:ext>
          </a:extLst>
        </xdr:cNvPr>
        <xdr:cNvGrpSpPr/>
      </xdr:nvGrpSpPr>
      <xdr:grpSpPr>
        <a:xfrm>
          <a:off x="12104001" y="18892936"/>
          <a:ext cx="2526242"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391" name="Chart 42">
                <a:extLst>
                  <a:ext uri="{FF2B5EF4-FFF2-40B4-BE49-F238E27FC236}">
                    <a16:creationId xmlns:a16="http://schemas.microsoft.com/office/drawing/2014/main" id="{18473CAF-DA22-D741-D268-347249A40D0C}"/>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75">
        <xdr:nvSpPr>
          <xdr:cNvPr id="392" name="TextBox 43">
            <a:extLst>
              <a:ext uri="{FF2B5EF4-FFF2-40B4-BE49-F238E27FC236}">
                <a16:creationId xmlns:a16="http://schemas.microsoft.com/office/drawing/2014/main" id="{9427D736-0532-5376-4362-951831C51858}"/>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79</xdr:row>
      <xdr:rowOff>232552</xdr:rowOff>
    </xdr:from>
    <xdr:to>
      <xdr:col>20</xdr:col>
      <xdr:colOff>31358</xdr:colOff>
      <xdr:row>94</xdr:row>
      <xdr:rowOff>117593</xdr:rowOff>
    </xdr:to>
    <xdr:grpSp>
      <xdr:nvGrpSpPr>
        <xdr:cNvPr id="387" name="Group 44">
          <a:extLst>
            <a:ext uri="{FF2B5EF4-FFF2-40B4-BE49-F238E27FC236}">
              <a16:creationId xmlns:a16="http://schemas.microsoft.com/office/drawing/2014/main" id="{9176BD1B-51C5-4D2A-8803-EF05BE294E3F}"/>
            </a:ext>
          </a:extLst>
        </xdr:cNvPr>
        <xdr:cNvGrpSpPr/>
      </xdr:nvGrpSpPr>
      <xdr:grpSpPr>
        <a:xfrm>
          <a:off x="14692960" y="18892027"/>
          <a:ext cx="290249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388" name="Chart 45">
                <a:extLst>
                  <a:ext uri="{FF2B5EF4-FFF2-40B4-BE49-F238E27FC236}">
                    <a16:creationId xmlns:a16="http://schemas.microsoft.com/office/drawing/2014/main" id="{5FBD84A6-D4E6-CBF0-8531-82CFD5E49859}"/>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78">
        <xdr:nvSpPr>
          <xdr:cNvPr id="389" name="TextBox 46">
            <a:extLst>
              <a:ext uri="{FF2B5EF4-FFF2-40B4-BE49-F238E27FC236}">
                <a16:creationId xmlns:a16="http://schemas.microsoft.com/office/drawing/2014/main" id="{4E6108AC-3336-0731-E9CC-9618F4C4031C}"/>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twoCellAnchor editAs="oneCell">
    <xdr:from>
      <xdr:col>9</xdr:col>
      <xdr:colOff>495300</xdr:colOff>
      <xdr:row>65</xdr:row>
      <xdr:rowOff>114300</xdr:rowOff>
    </xdr:from>
    <xdr:to>
      <xdr:col>16</xdr:col>
      <xdr:colOff>583404</xdr:colOff>
      <xdr:row>72</xdr:row>
      <xdr:rowOff>6350</xdr:rowOff>
    </xdr:to>
    <xdr:pic>
      <xdr:nvPicPr>
        <xdr:cNvPr id="33" name="Picture 14">
          <a:extLst>
            <a:ext uri="{FF2B5EF4-FFF2-40B4-BE49-F238E27FC236}">
              <a16:creationId xmlns:a16="http://schemas.microsoft.com/office/drawing/2014/main" id="{2B21CD0B-4CF9-9A58-8DB1-07E2FB9BB653}"/>
            </a:ext>
            <a:ext uri="{147F2762-F138-4A5C-976F-8EAC2B608ADB}">
              <a16:predDERef xmlns:a16="http://schemas.microsoft.com/office/drawing/2014/main" pred="{9176BD1B-51C5-4D2A-8803-EF05BE294E3F}"/>
            </a:ext>
          </a:extLst>
        </xdr:cNvPr>
        <xdr:cNvPicPr>
          <a:picLocks noChangeAspect="1"/>
        </xdr:cNvPicPr>
      </xdr:nvPicPr>
      <xdr:blipFill>
        <a:blip xmlns:r="http://schemas.openxmlformats.org/officeDocument/2006/relationships" r:embed="rId18"/>
        <a:stretch>
          <a:fillRect/>
        </a:stretch>
      </xdr:blipFill>
      <xdr:spPr>
        <a:xfrm>
          <a:off x="9105900" y="14363700"/>
          <a:ext cx="5936454" cy="2508250"/>
        </a:xfrm>
        <a:prstGeom prst="rect">
          <a:avLst/>
        </a:prstGeom>
      </xdr:spPr>
    </xdr:pic>
    <xdr:clientData/>
  </xdr:twoCellAnchor>
  <xdr:twoCellAnchor editAs="oneCell">
    <xdr:from>
      <xdr:col>20</xdr:col>
      <xdr:colOff>898072</xdr:colOff>
      <xdr:row>18</xdr:row>
      <xdr:rowOff>9070</xdr:rowOff>
    </xdr:from>
    <xdr:to>
      <xdr:col>39</xdr:col>
      <xdr:colOff>84364</xdr:colOff>
      <xdr:row>32</xdr:row>
      <xdr:rowOff>166459</xdr:rowOff>
    </xdr:to>
    <xdr:pic>
      <xdr:nvPicPr>
        <xdr:cNvPr id="15" name="Picture 26">
          <a:extLst>
            <a:ext uri="{FF2B5EF4-FFF2-40B4-BE49-F238E27FC236}">
              <a16:creationId xmlns:a16="http://schemas.microsoft.com/office/drawing/2014/main" id="{E13BF53C-3834-A8D6-2243-32C533CE9004}"/>
            </a:ext>
            <a:ext uri="{147F2762-F138-4A5C-976F-8EAC2B608ADB}">
              <a16:predDERef xmlns:a16="http://schemas.microsoft.com/office/drawing/2014/main" pred="{2B21CD0B-4CF9-9A58-8DB1-07E2FB9BB653}"/>
            </a:ext>
          </a:extLst>
        </xdr:cNvPr>
        <xdr:cNvPicPr>
          <a:picLocks noChangeAspect="1"/>
        </xdr:cNvPicPr>
      </xdr:nvPicPr>
      <xdr:blipFill>
        <a:blip xmlns:r="http://schemas.openxmlformats.org/officeDocument/2006/relationships" r:embed="rId19"/>
        <a:stretch>
          <a:fillRect/>
        </a:stretch>
      </xdr:blipFill>
      <xdr:spPr>
        <a:xfrm>
          <a:off x="19285858" y="3936999"/>
          <a:ext cx="3313792" cy="3078389"/>
        </a:xfrm>
        <a:prstGeom prst="rect">
          <a:avLst/>
        </a:prstGeom>
      </xdr:spPr>
    </xdr:pic>
    <xdr:clientData/>
  </xdr:twoCellAnchor>
  <xdr:twoCellAnchor editAs="oneCell">
    <xdr:from>
      <xdr:col>6</xdr:col>
      <xdr:colOff>190500</xdr:colOff>
      <xdr:row>65</xdr:row>
      <xdr:rowOff>85725</xdr:rowOff>
    </xdr:from>
    <xdr:to>
      <xdr:col>9</xdr:col>
      <xdr:colOff>146050</xdr:colOff>
      <xdr:row>71</xdr:row>
      <xdr:rowOff>698500</xdr:rowOff>
    </xdr:to>
    <xdr:pic>
      <xdr:nvPicPr>
        <xdr:cNvPr id="34" name="Picture 17">
          <a:extLst>
            <a:ext uri="{FF2B5EF4-FFF2-40B4-BE49-F238E27FC236}">
              <a16:creationId xmlns:a16="http://schemas.microsoft.com/office/drawing/2014/main" id="{5C7B5A0D-59FB-4577-7959-018F1414C2EF}"/>
            </a:ext>
            <a:ext uri="{147F2762-F138-4A5C-976F-8EAC2B608ADB}">
              <a16:predDERef xmlns:a16="http://schemas.microsoft.com/office/drawing/2014/main" pred="{E13BF53C-3834-A8D6-2243-32C533CE9004}"/>
            </a:ext>
          </a:extLst>
        </xdr:cNvPr>
        <xdr:cNvPicPr>
          <a:picLocks noChangeAspect="1"/>
        </xdr:cNvPicPr>
      </xdr:nvPicPr>
      <xdr:blipFill>
        <a:blip xmlns:r="http://schemas.openxmlformats.org/officeDocument/2006/relationships" r:embed="rId19"/>
        <a:stretch>
          <a:fillRect/>
        </a:stretch>
      </xdr:blipFill>
      <xdr:spPr>
        <a:xfrm>
          <a:off x="6400800" y="14335125"/>
          <a:ext cx="2628900" cy="24860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2</xdr:col>
      <xdr:colOff>0</xdr:colOff>
      <xdr:row>94</xdr:row>
      <xdr:rowOff>0</xdr:rowOff>
    </xdr:from>
    <xdr:ext cx="168910" cy="457200"/>
    <xdr:sp macro="" textlink="">
      <xdr:nvSpPr>
        <xdr:cNvPr id="2" name="Text Box 9">
          <a:extLst>
            <a:ext uri="{FF2B5EF4-FFF2-40B4-BE49-F238E27FC236}">
              <a16:creationId xmlns:a16="http://schemas.microsoft.com/office/drawing/2014/main" id="{4B5548E2-BC8D-4BBC-9F26-8F8B4FEE8B2F}"/>
            </a:ext>
          </a:extLst>
        </xdr:cNvPr>
        <xdr:cNvSpPr txBox="1">
          <a:spLocks noChangeArrowheads="1"/>
        </xdr:cNvSpPr>
      </xdr:nvSpPr>
      <xdr:spPr bwMode="auto">
        <a:xfrm>
          <a:off x="3022600" y="201993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94</xdr:row>
      <xdr:rowOff>0</xdr:rowOff>
    </xdr:from>
    <xdr:ext cx="167005" cy="457200"/>
    <xdr:sp macro="" textlink="">
      <xdr:nvSpPr>
        <xdr:cNvPr id="3" name="Text Box 13">
          <a:extLst>
            <a:ext uri="{FF2B5EF4-FFF2-40B4-BE49-F238E27FC236}">
              <a16:creationId xmlns:a16="http://schemas.microsoft.com/office/drawing/2014/main" id="{0033C42C-3FF2-4F9B-B129-EA77944E4743}"/>
            </a:ext>
          </a:extLst>
        </xdr:cNvPr>
        <xdr:cNvSpPr txBox="1">
          <a:spLocks noChangeArrowheads="1"/>
        </xdr:cNvSpPr>
      </xdr:nvSpPr>
      <xdr:spPr bwMode="auto">
        <a:xfrm>
          <a:off x="11156950" y="201993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94</xdr:row>
      <xdr:rowOff>0</xdr:rowOff>
    </xdr:from>
    <xdr:ext cx="167005" cy="457200"/>
    <xdr:sp macro="" textlink="">
      <xdr:nvSpPr>
        <xdr:cNvPr id="4" name="Text Box 13">
          <a:extLst>
            <a:ext uri="{FF2B5EF4-FFF2-40B4-BE49-F238E27FC236}">
              <a16:creationId xmlns:a16="http://schemas.microsoft.com/office/drawing/2014/main" id="{68FF5B4E-EEDE-461E-9592-6F76E07FD83F}"/>
            </a:ext>
          </a:extLst>
        </xdr:cNvPr>
        <xdr:cNvSpPr txBox="1">
          <a:spLocks noChangeArrowheads="1"/>
        </xdr:cNvSpPr>
      </xdr:nvSpPr>
      <xdr:spPr bwMode="auto">
        <a:xfrm>
          <a:off x="11156950" y="201993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94</xdr:row>
      <xdr:rowOff>0</xdr:rowOff>
    </xdr:from>
    <xdr:ext cx="152400" cy="457200"/>
    <xdr:sp macro="" textlink="">
      <xdr:nvSpPr>
        <xdr:cNvPr id="5" name="Text Box 13">
          <a:extLst>
            <a:ext uri="{FF2B5EF4-FFF2-40B4-BE49-F238E27FC236}">
              <a16:creationId xmlns:a16="http://schemas.microsoft.com/office/drawing/2014/main" id="{515A93BF-A09A-4BB1-A8DE-0BA686B6A320}"/>
            </a:ext>
          </a:extLst>
        </xdr:cNvPr>
        <xdr:cNvSpPr txBox="1">
          <a:spLocks noChangeArrowheads="1"/>
        </xdr:cNvSpPr>
      </xdr:nvSpPr>
      <xdr:spPr bwMode="auto">
        <a:xfrm>
          <a:off x="11136684" y="201993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94</xdr:row>
      <xdr:rowOff>0</xdr:rowOff>
    </xdr:from>
    <xdr:ext cx="168910" cy="457200"/>
    <xdr:sp macro="" textlink="">
      <xdr:nvSpPr>
        <xdr:cNvPr id="6" name="Text Box 9">
          <a:extLst>
            <a:ext uri="{FF2B5EF4-FFF2-40B4-BE49-F238E27FC236}">
              <a16:creationId xmlns:a16="http://schemas.microsoft.com/office/drawing/2014/main" id="{0ADFA314-7DB2-4B79-A83B-0A99AB2398EF}"/>
            </a:ext>
          </a:extLst>
        </xdr:cNvPr>
        <xdr:cNvSpPr txBox="1">
          <a:spLocks noChangeArrowheads="1"/>
        </xdr:cNvSpPr>
      </xdr:nvSpPr>
      <xdr:spPr bwMode="auto">
        <a:xfrm>
          <a:off x="3053203" y="201993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91</xdr:row>
      <xdr:rowOff>10092</xdr:rowOff>
    </xdr:from>
    <xdr:to>
      <xdr:col>3</xdr:col>
      <xdr:colOff>165099</xdr:colOff>
      <xdr:row>91</xdr:row>
      <xdr:rowOff>149302</xdr:rowOff>
    </xdr:to>
    <xdr:pic>
      <xdr:nvPicPr>
        <xdr:cNvPr id="7" name="Picture 6">
          <a:extLst>
            <a:ext uri="{FF2B5EF4-FFF2-40B4-BE49-F238E27FC236}">
              <a16:creationId xmlns:a16="http://schemas.microsoft.com/office/drawing/2014/main" id="{B0AC0F68-DF6C-4C73-ADB1-68E622725399}"/>
            </a:ext>
          </a:extLst>
        </xdr:cNvPr>
        <xdr:cNvPicPr>
          <a:picLocks noChangeAspect="1"/>
        </xdr:cNvPicPr>
      </xdr:nvPicPr>
      <xdr:blipFill>
        <a:blip xmlns:r="http://schemas.openxmlformats.org/officeDocument/2006/relationships" r:embed="rId1"/>
        <a:stretch>
          <a:fillRect/>
        </a:stretch>
      </xdr:blipFill>
      <xdr:spPr>
        <a:xfrm>
          <a:off x="3060700" y="19656992"/>
          <a:ext cx="158749" cy="139210"/>
        </a:xfrm>
        <a:prstGeom prst="rect">
          <a:avLst/>
        </a:prstGeom>
      </xdr:spPr>
    </xdr:pic>
    <xdr:clientData/>
  </xdr:twoCellAnchor>
  <xdr:twoCellAnchor editAs="oneCell">
    <xdr:from>
      <xdr:col>3</xdr:col>
      <xdr:colOff>13710</xdr:colOff>
      <xdr:row>91</xdr:row>
      <xdr:rowOff>13986</xdr:rowOff>
    </xdr:from>
    <xdr:to>
      <xdr:col>3</xdr:col>
      <xdr:colOff>154322</xdr:colOff>
      <xdr:row>91</xdr:row>
      <xdr:rowOff>159711</xdr:rowOff>
    </xdr:to>
    <xdr:pic>
      <xdr:nvPicPr>
        <xdr:cNvPr id="8" name="Picture 7">
          <a:extLst>
            <a:ext uri="{FF2B5EF4-FFF2-40B4-BE49-F238E27FC236}">
              <a16:creationId xmlns:a16="http://schemas.microsoft.com/office/drawing/2014/main" id="{51B65E88-AEFD-4C7A-B104-052D575F398A}"/>
            </a:ext>
          </a:extLst>
        </xdr:cNvPr>
        <xdr:cNvPicPr>
          <a:picLocks noChangeAspect="1"/>
        </xdr:cNvPicPr>
      </xdr:nvPicPr>
      <xdr:blipFill>
        <a:blip xmlns:r="http://schemas.openxmlformats.org/officeDocument/2006/relationships" r:embed="rId2"/>
        <a:stretch>
          <a:fillRect/>
        </a:stretch>
      </xdr:blipFill>
      <xdr:spPr>
        <a:xfrm>
          <a:off x="4452360" y="19660886"/>
          <a:ext cx="140612" cy="145725"/>
        </a:xfrm>
        <a:prstGeom prst="rect">
          <a:avLst/>
        </a:prstGeom>
      </xdr:spPr>
    </xdr:pic>
    <xdr:clientData/>
  </xdr:twoCellAnchor>
  <xdr:twoCellAnchor editAs="oneCell">
    <xdr:from>
      <xdr:col>4</xdr:col>
      <xdr:colOff>44450</xdr:colOff>
      <xdr:row>91</xdr:row>
      <xdr:rowOff>19130</xdr:rowOff>
    </xdr:from>
    <xdr:to>
      <xdr:col>4</xdr:col>
      <xdr:colOff>215900</xdr:colOff>
      <xdr:row>92</xdr:row>
      <xdr:rowOff>896</xdr:rowOff>
    </xdr:to>
    <xdr:pic>
      <xdr:nvPicPr>
        <xdr:cNvPr id="9" name="Picture 8">
          <a:extLst>
            <a:ext uri="{FF2B5EF4-FFF2-40B4-BE49-F238E27FC236}">
              <a16:creationId xmlns:a16="http://schemas.microsoft.com/office/drawing/2014/main" id="{59EDD1A9-4BD6-4372-8B4B-A50282AC90A6}"/>
            </a:ext>
          </a:extLst>
        </xdr:cNvPr>
        <xdr:cNvPicPr>
          <a:picLocks noChangeAspect="1"/>
        </xdr:cNvPicPr>
      </xdr:nvPicPr>
      <xdr:blipFill>
        <a:blip xmlns:r="http://schemas.openxmlformats.org/officeDocument/2006/relationships" r:embed="rId3"/>
        <a:stretch>
          <a:fillRect/>
        </a:stretch>
      </xdr:blipFill>
      <xdr:spPr>
        <a:xfrm flipV="1">
          <a:off x="5861050" y="19666030"/>
          <a:ext cx="171450" cy="165917"/>
        </a:xfrm>
        <a:prstGeom prst="rect">
          <a:avLst/>
        </a:prstGeom>
      </xdr:spPr>
    </xdr:pic>
    <xdr:clientData/>
  </xdr:twoCellAnchor>
  <xdr:oneCellAnchor>
    <xdr:from>
      <xdr:col>1</xdr:col>
      <xdr:colOff>20248</xdr:colOff>
      <xdr:row>91</xdr:row>
      <xdr:rowOff>8127</xdr:rowOff>
    </xdr:from>
    <xdr:ext cx="199069" cy="170387"/>
    <xdr:pic>
      <xdr:nvPicPr>
        <xdr:cNvPr id="10" name="Picture 9">
          <a:extLst>
            <a:ext uri="{FF2B5EF4-FFF2-40B4-BE49-F238E27FC236}">
              <a16:creationId xmlns:a16="http://schemas.microsoft.com/office/drawing/2014/main" id="{84C78315-B532-4D73-9427-71FE1CF52BBD}"/>
            </a:ext>
          </a:extLst>
        </xdr:cNvPr>
        <xdr:cNvPicPr>
          <a:picLocks noChangeAspect="1"/>
        </xdr:cNvPicPr>
      </xdr:nvPicPr>
      <xdr:blipFill>
        <a:blip xmlns:r="http://schemas.openxmlformats.org/officeDocument/2006/relationships" r:embed="rId4"/>
        <a:stretch>
          <a:fillRect/>
        </a:stretch>
      </xdr:blipFill>
      <xdr:spPr>
        <a:xfrm>
          <a:off x="1487098" y="19655027"/>
          <a:ext cx="199069" cy="170387"/>
        </a:xfrm>
        <a:prstGeom prst="rect">
          <a:avLst/>
        </a:prstGeom>
      </xdr:spPr>
    </xdr:pic>
    <xdr:clientData/>
  </xdr:oneCellAnchor>
  <xdr:twoCellAnchor editAs="oneCell">
    <xdr:from>
      <xdr:col>0</xdr:col>
      <xdr:colOff>0</xdr:colOff>
      <xdr:row>91</xdr:row>
      <xdr:rowOff>7863</xdr:rowOff>
    </xdr:from>
    <xdr:to>
      <xdr:col>0</xdr:col>
      <xdr:colOff>208786</xdr:colOff>
      <xdr:row>92</xdr:row>
      <xdr:rowOff>246</xdr:rowOff>
    </xdr:to>
    <xdr:pic>
      <xdr:nvPicPr>
        <xdr:cNvPr id="11" name="Picture 10">
          <a:extLst>
            <a:ext uri="{FF2B5EF4-FFF2-40B4-BE49-F238E27FC236}">
              <a16:creationId xmlns:a16="http://schemas.microsoft.com/office/drawing/2014/main" id="{2F18BF5B-D5A7-4567-AC36-D1538E8ED6E2}"/>
            </a:ext>
          </a:extLst>
        </xdr:cNvPr>
        <xdr:cNvPicPr>
          <a:picLocks noChangeAspect="1"/>
        </xdr:cNvPicPr>
      </xdr:nvPicPr>
      <xdr:blipFill>
        <a:blip xmlns:r="http://schemas.openxmlformats.org/officeDocument/2006/relationships" r:embed="rId5"/>
        <a:stretch>
          <a:fillRect/>
        </a:stretch>
      </xdr:blipFill>
      <xdr:spPr>
        <a:xfrm>
          <a:off x="0" y="19654763"/>
          <a:ext cx="208786" cy="176534"/>
        </a:xfrm>
        <a:prstGeom prst="rect">
          <a:avLst/>
        </a:prstGeom>
      </xdr:spPr>
    </xdr:pic>
    <xdr:clientData/>
  </xdr:twoCellAnchor>
  <xdr:twoCellAnchor>
    <xdr:from>
      <xdr:col>0</xdr:col>
      <xdr:colOff>0</xdr:colOff>
      <xdr:row>23</xdr:row>
      <xdr:rowOff>0</xdr:rowOff>
    </xdr:from>
    <xdr:to>
      <xdr:col>2</xdr:col>
      <xdr:colOff>8090</xdr:colOff>
      <xdr:row>37</xdr:row>
      <xdr:rowOff>132815</xdr:rowOff>
    </xdr:to>
    <xdr:grpSp>
      <xdr:nvGrpSpPr>
        <xdr:cNvPr id="66" name="Group 11">
          <a:extLst>
            <a:ext uri="{FF2B5EF4-FFF2-40B4-BE49-F238E27FC236}">
              <a16:creationId xmlns:a16="http://schemas.microsoft.com/office/drawing/2014/main" id="{69565D72-9225-45D7-8C78-5C1041CF3C06}"/>
            </a:ext>
            <a:ext uri="{147F2762-F138-4A5C-976F-8EAC2B608ADB}">
              <a16:predDERef xmlns:a16="http://schemas.microsoft.com/office/drawing/2014/main" pred="{2F18BF5B-D5A7-4567-AC36-D1538E8ED6E2}"/>
            </a:ext>
          </a:extLst>
        </xdr:cNvPr>
        <xdr:cNvGrpSpPr/>
      </xdr:nvGrpSpPr>
      <xdr:grpSpPr>
        <a:xfrm>
          <a:off x="0" y="4829175"/>
          <a:ext cx="2895600" cy="2666465"/>
          <a:chOff x="77635" y="5406915"/>
          <a:chExt cx="2829628" cy="2158877"/>
        </a:xfrm>
      </xdr:grpSpPr>
      <xdr:graphicFrame macro="">
        <xdr:nvGraphicFramePr>
          <xdr:cNvPr id="67" name="Chart 12">
            <a:extLst>
              <a:ext uri="{FF2B5EF4-FFF2-40B4-BE49-F238E27FC236}">
                <a16:creationId xmlns:a16="http://schemas.microsoft.com/office/drawing/2014/main" id="{050D507D-A1D5-150F-E345-A5513D364B7F}"/>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68" name="TextBox 13">
            <a:extLst>
              <a:ext uri="{FF2B5EF4-FFF2-40B4-BE49-F238E27FC236}">
                <a16:creationId xmlns:a16="http://schemas.microsoft.com/office/drawing/2014/main" id="{FF7C9E10-F772-D0B6-421B-607D2A458E17}"/>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RFQ closure to meet NPI / MLD deliverables</a:t>
            </a:fld>
            <a:endParaRPr lang="en-IN" sz="1800" b="1"/>
          </a:p>
        </xdr:txBody>
      </xdr:sp>
    </xdr:grpSp>
    <xdr:clientData/>
  </xdr:twoCellAnchor>
  <xdr:twoCellAnchor>
    <xdr:from>
      <xdr:col>3</xdr:col>
      <xdr:colOff>234316</xdr:colOff>
      <xdr:row>23</xdr:row>
      <xdr:rowOff>0</xdr:rowOff>
    </xdr:from>
    <xdr:to>
      <xdr:col>6</xdr:col>
      <xdr:colOff>721986</xdr:colOff>
      <xdr:row>37</xdr:row>
      <xdr:rowOff>155812</xdr:rowOff>
    </xdr:to>
    <xdr:grpSp>
      <xdr:nvGrpSpPr>
        <xdr:cNvPr id="78" name="Group 14">
          <a:extLst>
            <a:ext uri="{FF2B5EF4-FFF2-40B4-BE49-F238E27FC236}">
              <a16:creationId xmlns:a16="http://schemas.microsoft.com/office/drawing/2014/main" id="{6CFD4101-B00C-405C-824F-74DA0EC7F614}"/>
            </a:ext>
          </a:extLst>
        </xdr:cNvPr>
        <xdr:cNvGrpSpPr/>
      </xdr:nvGrpSpPr>
      <xdr:grpSpPr>
        <a:xfrm>
          <a:off x="3129916" y="4829175"/>
          <a:ext cx="3897620" cy="2689462"/>
          <a:chOff x="2905974" y="5419664"/>
          <a:chExt cx="3092518" cy="2147057"/>
        </a:xfrm>
      </xdr:grpSpPr>
      <xdr:graphicFrame macro="">
        <xdr:nvGraphicFramePr>
          <xdr:cNvPr id="79" name="Chart 15">
            <a:extLst>
              <a:ext uri="{FF2B5EF4-FFF2-40B4-BE49-F238E27FC236}">
                <a16:creationId xmlns:a16="http://schemas.microsoft.com/office/drawing/2014/main" id="{64428D5C-2C97-7BD9-A739-672AFDE0EB9E}"/>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80" name="TextBox 16">
            <a:extLst>
              <a:ext uri="{FF2B5EF4-FFF2-40B4-BE49-F238E27FC236}">
                <a16:creationId xmlns:a16="http://schemas.microsoft.com/office/drawing/2014/main" id="{B09E1E30-6237-46FB-045B-B003CA0DC335}"/>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Supplier selection to meet NPI / MLD deliverables</a:t>
            </a:fld>
            <a:endParaRPr lang="en-IN" sz="1800" b="1"/>
          </a:p>
        </xdr:txBody>
      </xdr:sp>
    </xdr:grpSp>
    <xdr:clientData/>
  </xdr:twoCellAnchor>
  <xdr:twoCellAnchor>
    <xdr:from>
      <xdr:col>7</xdr:col>
      <xdr:colOff>0</xdr:colOff>
      <xdr:row>23</xdr:row>
      <xdr:rowOff>0</xdr:rowOff>
    </xdr:from>
    <xdr:to>
      <xdr:col>10</xdr:col>
      <xdr:colOff>870980</xdr:colOff>
      <xdr:row>37</xdr:row>
      <xdr:rowOff>142875</xdr:rowOff>
    </xdr:to>
    <xdr:grpSp>
      <xdr:nvGrpSpPr>
        <xdr:cNvPr id="75" name="Group 17">
          <a:extLst>
            <a:ext uri="{FF2B5EF4-FFF2-40B4-BE49-F238E27FC236}">
              <a16:creationId xmlns:a16="http://schemas.microsoft.com/office/drawing/2014/main" id="{1C544F1D-880C-48BC-8077-88911D8E168A}"/>
            </a:ext>
            <a:ext uri="{147F2762-F138-4A5C-976F-8EAC2B608ADB}">
              <a16:predDERef xmlns:a16="http://schemas.microsoft.com/office/drawing/2014/main" pred="{6CFD4101-B00C-405C-824F-74DA0EC7F614}"/>
            </a:ext>
          </a:extLst>
        </xdr:cNvPr>
        <xdr:cNvGrpSpPr/>
      </xdr:nvGrpSpPr>
      <xdr:grpSpPr>
        <a:xfrm>
          <a:off x="7105650" y="4829175"/>
          <a:ext cx="3604655" cy="2676525"/>
          <a:chOff x="5810561" y="5397766"/>
          <a:chExt cx="2667443" cy="2269965"/>
        </a:xfrm>
      </xdr:grpSpPr>
      <xdr:graphicFrame macro="">
        <xdr:nvGraphicFramePr>
          <xdr:cNvPr id="76" name="Chart 18">
            <a:extLst>
              <a:ext uri="{FF2B5EF4-FFF2-40B4-BE49-F238E27FC236}">
                <a16:creationId xmlns:a16="http://schemas.microsoft.com/office/drawing/2014/main" id="{FECBB092-452B-2EDF-3165-D0FC17EF1BA6}"/>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77" name="TextBox 19">
            <a:extLst>
              <a:ext uri="{FF2B5EF4-FFF2-40B4-BE49-F238E27FC236}">
                <a16:creationId xmlns:a16="http://schemas.microsoft.com/office/drawing/2014/main" id="{2757598C-A753-7806-8AC5-F87471F62974}"/>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CTB (12 weeks)</a:t>
            </a:fld>
            <a:endParaRPr lang="en-IN" sz="1800" b="1"/>
          </a:p>
        </xdr:txBody>
      </xdr:sp>
    </xdr:grpSp>
    <xdr:clientData/>
  </xdr:twoCellAnchor>
  <xdr:twoCellAnchor>
    <xdr:from>
      <xdr:col>11</xdr:col>
      <xdr:colOff>0</xdr:colOff>
      <xdr:row>23</xdr:row>
      <xdr:rowOff>0</xdr:rowOff>
    </xdr:from>
    <xdr:to>
      <xdr:col>14</xdr:col>
      <xdr:colOff>701250</xdr:colOff>
      <xdr:row>37</xdr:row>
      <xdr:rowOff>149463</xdr:rowOff>
    </xdr:to>
    <xdr:grpSp>
      <xdr:nvGrpSpPr>
        <xdr:cNvPr id="21" name="Group 20">
          <a:extLst>
            <a:ext uri="{FF2B5EF4-FFF2-40B4-BE49-F238E27FC236}">
              <a16:creationId xmlns:a16="http://schemas.microsoft.com/office/drawing/2014/main" id="{B1D4F5A7-D3AB-47CB-B16B-D486975AD707}"/>
            </a:ext>
          </a:extLst>
        </xdr:cNvPr>
        <xdr:cNvGrpSpPr/>
      </xdr:nvGrpSpPr>
      <xdr:grpSpPr>
        <a:xfrm>
          <a:off x="10972800" y="4829175"/>
          <a:ext cx="3911175" cy="2683113"/>
          <a:chOff x="8567036" y="5412365"/>
          <a:chExt cx="2683519" cy="2171271"/>
        </a:xfrm>
      </xdr:grpSpPr>
      <xdr:graphicFrame macro="">
        <xdr:nvGraphicFramePr>
          <xdr:cNvPr id="22" name="Chart 21">
            <a:extLst>
              <a:ext uri="{FF2B5EF4-FFF2-40B4-BE49-F238E27FC236}">
                <a16:creationId xmlns:a16="http://schemas.microsoft.com/office/drawing/2014/main" id="{74522B0A-F151-11CA-3036-66D4BD1396ED}"/>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23" name="TextBox 22">
            <a:extLst>
              <a:ext uri="{FF2B5EF4-FFF2-40B4-BE49-F238E27FC236}">
                <a16:creationId xmlns:a16="http://schemas.microsoft.com/office/drawing/2014/main" id="{35AC2978-8059-A36E-E6E5-2A5A15750093}"/>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0CBC7D-B506-4CF5-A661-B4090860F931}" type="TxLink">
              <a:rPr lang="en-US" sz="1200" b="1" i="0" u="none" strike="noStrike">
                <a:solidFill>
                  <a:srgbClr val="000000"/>
                </a:solidFill>
                <a:latin typeface="Calibri"/>
                <a:ea typeface="Calibri"/>
                <a:cs typeface="Calibri"/>
              </a:rPr>
              <a:pPr algn="ctr"/>
              <a:t> </a:t>
            </a:fld>
            <a:endParaRPr lang="en-IN" sz="1800" b="1"/>
          </a:p>
        </xdr:txBody>
      </xdr:sp>
    </xdr:grpSp>
    <xdr:clientData/>
  </xdr:twoCellAnchor>
  <xdr:twoCellAnchor>
    <xdr:from>
      <xdr:col>0</xdr:col>
      <xdr:colOff>0</xdr:colOff>
      <xdr:row>62</xdr:row>
      <xdr:rowOff>23585</xdr:rowOff>
    </xdr:from>
    <xdr:to>
      <xdr:col>2</xdr:col>
      <xdr:colOff>1183765</xdr:colOff>
      <xdr:row>76</xdr:row>
      <xdr:rowOff>109753</xdr:rowOff>
    </xdr:to>
    <xdr:grpSp>
      <xdr:nvGrpSpPr>
        <xdr:cNvPr id="114" name="Group 29">
          <a:extLst>
            <a:ext uri="{FF2B5EF4-FFF2-40B4-BE49-F238E27FC236}">
              <a16:creationId xmlns:a16="http://schemas.microsoft.com/office/drawing/2014/main" id="{C835951B-61EA-443A-A136-DA1F1AE6992B}"/>
            </a:ext>
          </a:extLst>
        </xdr:cNvPr>
        <xdr:cNvGrpSpPr/>
      </xdr:nvGrpSpPr>
      <xdr:grpSpPr>
        <a:xfrm>
          <a:off x="0" y="13215710"/>
          <a:ext cx="2895600"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115" name="Chart 30">
                <a:extLst>
                  <a:ext uri="{FF2B5EF4-FFF2-40B4-BE49-F238E27FC236}">
                    <a16:creationId xmlns:a16="http://schemas.microsoft.com/office/drawing/2014/main" id="{594FE27E-A88A-4F33-D2E6-B04455099C7C}"/>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5">
        <xdr:nvSpPr>
          <xdr:cNvPr id="116" name="TextBox 31">
            <a:extLst>
              <a:ext uri="{FF2B5EF4-FFF2-40B4-BE49-F238E27FC236}">
                <a16:creationId xmlns:a16="http://schemas.microsoft.com/office/drawing/2014/main" id="{9AC3BBD9-80E9-C006-D49F-CF82E41CDDA5}"/>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DEFOA</a:t>
            </a:fld>
            <a:endParaRPr lang="en-IN" sz="1600" b="1"/>
          </a:p>
        </xdr:txBody>
      </xdr:sp>
    </xdr:grpSp>
    <xdr:clientData/>
  </xdr:twoCellAnchor>
  <xdr:twoCellAnchor>
    <xdr:from>
      <xdr:col>2</xdr:col>
      <xdr:colOff>1249382</xdr:colOff>
      <xdr:row>61</xdr:row>
      <xdr:rowOff>257956</xdr:rowOff>
    </xdr:from>
    <xdr:to>
      <xdr:col>5</xdr:col>
      <xdr:colOff>932901</xdr:colOff>
      <xdr:row>76</xdr:row>
      <xdr:rowOff>125432</xdr:rowOff>
    </xdr:to>
    <xdr:grpSp>
      <xdr:nvGrpSpPr>
        <xdr:cNvPr id="126" name="Group 32">
          <a:extLst>
            <a:ext uri="{FF2B5EF4-FFF2-40B4-BE49-F238E27FC236}">
              <a16:creationId xmlns:a16="http://schemas.microsoft.com/office/drawing/2014/main" id="{AF35F66E-5A5C-4384-8C1A-5F2753464A12}"/>
            </a:ext>
          </a:extLst>
        </xdr:cNvPr>
        <xdr:cNvGrpSpPr/>
      </xdr:nvGrpSpPr>
      <xdr:grpSpPr>
        <a:xfrm>
          <a:off x="2895600" y="13183381"/>
          <a:ext cx="3247476"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127" name="Chart 33">
                <a:extLst>
                  <a:ext uri="{FF2B5EF4-FFF2-40B4-BE49-F238E27FC236}">
                    <a16:creationId xmlns:a16="http://schemas.microsoft.com/office/drawing/2014/main" id="{1E3AD412-6232-5860-6868-B9EBCEBBC7CA}"/>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8">
        <xdr:nvSpPr>
          <xdr:cNvPr id="128" name="TextBox 34">
            <a:extLst>
              <a:ext uri="{FF2B5EF4-FFF2-40B4-BE49-F238E27FC236}">
                <a16:creationId xmlns:a16="http://schemas.microsoft.com/office/drawing/2014/main" id="{D4E59C72-9E7C-86E3-D4DF-C678B736DA02}"/>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 </a:t>
            </a:fld>
            <a:endParaRPr lang="en-IN" sz="1600" b="1"/>
          </a:p>
        </xdr:txBody>
      </xdr:sp>
    </xdr:grpSp>
    <xdr:clientData/>
  </xdr:twoCellAnchor>
  <xdr:twoCellAnchor>
    <xdr:from>
      <xdr:col>5</xdr:col>
      <xdr:colOff>1003064</xdr:colOff>
      <xdr:row>62</xdr:row>
      <xdr:rowOff>15312</xdr:rowOff>
    </xdr:from>
    <xdr:to>
      <xdr:col>9</xdr:col>
      <xdr:colOff>611482</xdr:colOff>
      <xdr:row>76</xdr:row>
      <xdr:rowOff>125432</xdr:rowOff>
    </xdr:to>
    <xdr:grpSp>
      <xdr:nvGrpSpPr>
        <xdr:cNvPr id="129" name="Group 35">
          <a:extLst>
            <a:ext uri="{FF2B5EF4-FFF2-40B4-BE49-F238E27FC236}">
              <a16:creationId xmlns:a16="http://schemas.microsoft.com/office/drawing/2014/main" id="{7D23DA9F-178A-46A0-9272-D028C909376C}"/>
            </a:ext>
          </a:extLst>
        </xdr:cNvPr>
        <xdr:cNvGrpSpPr/>
      </xdr:nvGrpSpPr>
      <xdr:grpSpPr>
        <a:xfrm>
          <a:off x="6213239" y="13207437"/>
          <a:ext cx="3142193"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30" name="Chart 36">
                <a:extLst>
                  <a:ext uri="{FF2B5EF4-FFF2-40B4-BE49-F238E27FC236}">
                    <a16:creationId xmlns:a16="http://schemas.microsoft.com/office/drawing/2014/main" id="{F5999571-3AE0-8E4E-C907-72FA9980E738}"/>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1">
        <xdr:nvSpPr>
          <xdr:cNvPr id="131" name="TextBox 37">
            <a:extLst>
              <a:ext uri="{FF2B5EF4-FFF2-40B4-BE49-F238E27FC236}">
                <a16:creationId xmlns:a16="http://schemas.microsoft.com/office/drawing/2014/main" id="{68F9DB77-78F6-A12A-CEEA-7DAE22019B4E}"/>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9</xdr:col>
      <xdr:colOff>658518</xdr:colOff>
      <xdr:row>61</xdr:row>
      <xdr:rowOff>266376</xdr:rowOff>
    </xdr:from>
    <xdr:to>
      <xdr:col>13</xdr:col>
      <xdr:colOff>7762</xdr:colOff>
      <xdr:row>76</xdr:row>
      <xdr:rowOff>94074</xdr:rowOff>
    </xdr:to>
    <xdr:grpSp>
      <xdr:nvGrpSpPr>
        <xdr:cNvPr id="120" name="Group 38">
          <a:extLst>
            <a:ext uri="{FF2B5EF4-FFF2-40B4-BE49-F238E27FC236}">
              <a16:creationId xmlns:a16="http://schemas.microsoft.com/office/drawing/2014/main" id="{EE04AE2C-A16F-4A56-8E95-46391B96FC74}"/>
            </a:ext>
          </a:extLst>
        </xdr:cNvPr>
        <xdr:cNvGrpSpPr/>
      </xdr:nvGrpSpPr>
      <xdr:grpSpPr>
        <a:xfrm>
          <a:off x="9402468" y="13191801"/>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121" name="Chart 39">
                <a:extLst>
                  <a:ext uri="{FF2B5EF4-FFF2-40B4-BE49-F238E27FC236}">
                    <a16:creationId xmlns:a16="http://schemas.microsoft.com/office/drawing/2014/main" id="{DD596CF3-21E2-166D-9298-27AC99C7FB7A}"/>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4">
        <xdr:nvSpPr>
          <xdr:cNvPr id="122" name="TextBox 40">
            <a:extLst>
              <a:ext uri="{FF2B5EF4-FFF2-40B4-BE49-F238E27FC236}">
                <a16:creationId xmlns:a16="http://schemas.microsoft.com/office/drawing/2014/main" id="{278733F8-B8CF-3F40-02C5-B3D1BD3B032E}"/>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13</xdr:col>
      <xdr:colOff>54876</xdr:colOff>
      <xdr:row>61</xdr:row>
      <xdr:rowOff>233461</xdr:rowOff>
    </xdr:from>
    <xdr:to>
      <xdr:col>16</xdr:col>
      <xdr:colOff>266543</xdr:colOff>
      <xdr:row>76</xdr:row>
      <xdr:rowOff>94074</xdr:rowOff>
    </xdr:to>
    <xdr:grpSp>
      <xdr:nvGrpSpPr>
        <xdr:cNvPr id="123" name="Group 41">
          <a:extLst>
            <a:ext uri="{FF2B5EF4-FFF2-40B4-BE49-F238E27FC236}">
              <a16:creationId xmlns:a16="http://schemas.microsoft.com/office/drawing/2014/main" id="{11AD5BEB-6859-4DAC-B4EA-C7ABF258A068}"/>
            </a:ext>
          </a:extLst>
        </xdr:cNvPr>
        <xdr:cNvGrpSpPr/>
      </xdr:nvGrpSpPr>
      <xdr:grpSpPr>
        <a:xfrm>
          <a:off x="13170801" y="13158886"/>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124" name="Chart 42">
                <a:extLst>
                  <a:ext uri="{FF2B5EF4-FFF2-40B4-BE49-F238E27FC236}">
                    <a16:creationId xmlns:a16="http://schemas.microsoft.com/office/drawing/2014/main" id="{6C42457C-33C0-395C-CEF0-CBE0ABDA765F}"/>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125" name="TextBox 43">
            <a:extLst>
              <a:ext uri="{FF2B5EF4-FFF2-40B4-BE49-F238E27FC236}">
                <a16:creationId xmlns:a16="http://schemas.microsoft.com/office/drawing/2014/main" id="{899DFDB3-B2A7-D75B-DADA-0AB0978F95AE}"/>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61</xdr:row>
      <xdr:rowOff>232552</xdr:rowOff>
    </xdr:from>
    <xdr:to>
      <xdr:col>20</xdr:col>
      <xdr:colOff>31358</xdr:colOff>
      <xdr:row>76</xdr:row>
      <xdr:rowOff>117593</xdr:rowOff>
    </xdr:to>
    <xdr:grpSp>
      <xdr:nvGrpSpPr>
        <xdr:cNvPr id="117" name="Group 44">
          <a:extLst>
            <a:ext uri="{FF2B5EF4-FFF2-40B4-BE49-F238E27FC236}">
              <a16:creationId xmlns:a16="http://schemas.microsoft.com/office/drawing/2014/main" id="{8E2DF3CD-23AA-48A7-A9F7-7C108777A4A0}"/>
            </a:ext>
          </a:extLst>
        </xdr:cNvPr>
        <xdr:cNvGrpSpPr/>
      </xdr:nvGrpSpPr>
      <xdr:grpSpPr>
        <a:xfrm>
          <a:off x="16817035" y="13157977"/>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18" name="Chart 45">
                <a:extLst>
                  <a:ext uri="{FF2B5EF4-FFF2-40B4-BE49-F238E27FC236}">
                    <a16:creationId xmlns:a16="http://schemas.microsoft.com/office/drawing/2014/main" id="{439B7156-01C6-9B33-F695-E011A057CAD7}"/>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0">
        <xdr:nvSpPr>
          <xdr:cNvPr id="119" name="TextBox 46">
            <a:extLst>
              <a:ext uri="{FF2B5EF4-FFF2-40B4-BE49-F238E27FC236}">
                <a16:creationId xmlns:a16="http://schemas.microsoft.com/office/drawing/2014/main" id="{4B83B88E-B27B-BC70-9A4A-1103D9FB6F37}"/>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0</xdr:colOff>
      <xdr:row>118</xdr:row>
      <xdr:rowOff>0</xdr:rowOff>
    </xdr:from>
    <xdr:ext cx="168910" cy="457200"/>
    <xdr:sp macro="" textlink="">
      <xdr:nvSpPr>
        <xdr:cNvPr id="2" name="Text Box 9">
          <a:extLst>
            <a:ext uri="{FF2B5EF4-FFF2-40B4-BE49-F238E27FC236}">
              <a16:creationId xmlns:a16="http://schemas.microsoft.com/office/drawing/2014/main" id="{FE03E03C-A9C3-4CDB-89C5-02402D241B36}"/>
            </a:ext>
          </a:extLst>
        </xdr:cNvPr>
        <xdr:cNvSpPr txBox="1">
          <a:spLocks noChangeArrowheads="1"/>
        </xdr:cNvSpPr>
      </xdr:nvSpPr>
      <xdr:spPr bwMode="auto">
        <a:xfrm>
          <a:off x="3022600" y="208597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590550</xdr:colOff>
      <xdr:row>118</xdr:row>
      <xdr:rowOff>0</xdr:rowOff>
    </xdr:from>
    <xdr:ext cx="167005" cy="457200"/>
    <xdr:sp macro="" textlink="">
      <xdr:nvSpPr>
        <xdr:cNvPr id="184" name="Text Box 13">
          <a:extLst>
            <a:ext uri="{FF2B5EF4-FFF2-40B4-BE49-F238E27FC236}">
              <a16:creationId xmlns:a16="http://schemas.microsoft.com/office/drawing/2014/main" id="{C9DC92B5-FB18-469F-99C2-523DC625B737}"/>
            </a:ext>
          </a:extLst>
        </xdr:cNvPr>
        <xdr:cNvSpPr txBox="1">
          <a:spLocks noChangeArrowheads="1"/>
        </xdr:cNvSpPr>
      </xdr:nvSpPr>
      <xdr:spPr bwMode="auto">
        <a:xfrm>
          <a:off x="10052050" y="208597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631563</xdr:colOff>
      <xdr:row>118</xdr:row>
      <xdr:rowOff>33617</xdr:rowOff>
    </xdr:from>
    <xdr:ext cx="167005" cy="457200"/>
    <xdr:sp macro="" textlink="">
      <xdr:nvSpPr>
        <xdr:cNvPr id="40" name="Text Box 13">
          <a:extLst>
            <a:ext uri="{FF2B5EF4-FFF2-40B4-BE49-F238E27FC236}">
              <a16:creationId xmlns:a16="http://schemas.microsoft.com/office/drawing/2014/main" id="{85F1A28A-FEBA-4BC0-93AA-A146AC2E1176}"/>
            </a:ext>
          </a:extLst>
        </xdr:cNvPr>
        <xdr:cNvSpPr txBox="1">
          <a:spLocks noChangeArrowheads="1"/>
        </xdr:cNvSpPr>
      </xdr:nvSpPr>
      <xdr:spPr bwMode="auto">
        <a:xfrm>
          <a:off x="14134651" y="28003499"/>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480637</xdr:colOff>
      <xdr:row>118</xdr:row>
      <xdr:rowOff>100853</xdr:rowOff>
    </xdr:from>
    <xdr:ext cx="152400" cy="457200"/>
    <xdr:sp macro="" textlink="">
      <xdr:nvSpPr>
        <xdr:cNvPr id="39" name="Text Box 13">
          <a:extLst>
            <a:ext uri="{FF2B5EF4-FFF2-40B4-BE49-F238E27FC236}">
              <a16:creationId xmlns:a16="http://schemas.microsoft.com/office/drawing/2014/main" id="{46C308F5-1791-49FC-A817-4F59E53E457B}"/>
            </a:ext>
          </a:extLst>
        </xdr:cNvPr>
        <xdr:cNvSpPr txBox="1">
          <a:spLocks noChangeArrowheads="1"/>
        </xdr:cNvSpPr>
      </xdr:nvSpPr>
      <xdr:spPr bwMode="auto">
        <a:xfrm>
          <a:off x="13983725" y="28070735"/>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118</xdr:row>
      <xdr:rowOff>0</xdr:rowOff>
    </xdr:from>
    <xdr:ext cx="168910" cy="457200"/>
    <xdr:sp macro="" textlink="">
      <xdr:nvSpPr>
        <xdr:cNvPr id="6" name="Text Box 9">
          <a:extLst>
            <a:ext uri="{FF2B5EF4-FFF2-40B4-BE49-F238E27FC236}">
              <a16:creationId xmlns:a16="http://schemas.microsoft.com/office/drawing/2014/main" id="{4635691D-0BFF-48E7-923D-40277AE1232A}"/>
            </a:ext>
          </a:extLst>
        </xdr:cNvPr>
        <xdr:cNvSpPr txBox="1">
          <a:spLocks noChangeArrowheads="1"/>
        </xdr:cNvSpPr>
      </xdr:nvSpPr>
      <xdr:spPr bwMode="auto">
        <a:xfrm>
          <a:off x="3053203" y="208597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115</xdr:row>
      <xdr:rowOff>10092</xdr:rowOff>
    </xdr:from>
    <xdr:to>
      <xdr:col>2</xdr:col>
      <xdr:colOff>207009</xdr:colOff>
      <xdr:row>115</xdr:row>
      <xdr:rowOff>149302</xdr:rowOff>
    </xdr:to>
    <xdr:pic>
      <xdr:nvPicPr>
        <xdr:cNvPr id="7" name="Picture 6">
          <a:extLst>
            <a:ext uri="{FF2B5EF4-FFF2-40B4-BE49-F238E27FC236}">
              <a16:creationId xmlns:a16="http://schemas.microsoft.com/office/drawing/2014/main" id="{2ECB0E5F-6A31-4EC7-A2F7-6DF087F37639}"/>
            </a:ext>
          </a:extLst>
        </xdr:cNvPr>
        <xdr:cNvPicPr>
          <a:picLocks noChangeAspect="1"/>
        </xdr:cNvPicPr>
      </xdr:nvPicPr>
      <xdr:blipFill>
        <a:blip xmlns:r="http://schemas.openxmlformats.org/officeDocument/2006/relationships" r:embed="rId1"/>
        <a:stretch>
          <a:fillRect/>
        </a:stretch>
      </xdr:blipFill>
      <xdr:spPr>
        <a:xfrm>
          <a:off x="3060700" y="20317392"/>
          <a:ext cx="158749" cy="139210"/>
        </a:xfrm>
        <a:prstGeom prst="rect">
          <a:avLst/>
        </a:prstGeom>
      </xdr:spPr>
    </xdr:pic>
    <xdr:clientData/>
  </xdr:twoCellAnchor>
  <xdr:twoCellAnchor editAs="oneCell">
    <xdr:from>
      <xdr:col>3</xdr:col>
      <xdr:colOff>13710</xdr:colOff>
      <xdr:row>115</xdr:row>
      <xdr:rowOff>13986</xdr:rowOff>
    </xdr:from>
    <xdr:to>
      <xdr:col>3</xdr:col>
      <xdr:colOff>150512</xdr:colOff>
      <xdr:row>115</xdr:row>
      <xdr:rowOff>173046</xdr:rowOff>
    </xdr:to>
    <xdr:pic>
      <xdr:nvPicPr>
        <xdr:cNvPr id="8" name="Picture 7">
          <a:extLst>
            <a:ext uri="{FF2B5EF4-FFF2-40B4-BE49-F238E27FC236}">
              <a16:creationId xmlns:a16="http://schemas.microsoft.com/office/drawing/2014/main" id="{846F9D7A-1FEB-4508-9D7F-3B5CE950D762}"/>
            </a:ext>
          </a:extLst>
        </xdr:cNvPr>
        <xdr:cNvPicPr>
          <a:picLocks noChangeAspect="1"/>
        </xdr:cNvPicPr>
      </xdr:nvPicPr>
      <xdr:blipFill>
        <a:blip xmlns:r="http://schemas.openxmlformats.org/officeDocument/2006/relationships" r:embed="rId2"/>
        <a:stretch>
          <a:fillRect/>
        </a:stretch>
      </xdr:blipFill>
      <xdr:spPr>
        <a:xfrm>
          <a:off x="4134860" y="20321286"/>
          <a:ext cx="140612" cy="145725"/>
        </a:xfrm>
        <a:prstGeom prst="rect">
          <a:avLst/>
        </a:prstGeom>
      </xdr:spPr>
    </xdr:pic>
    <xdr:clientData/>
  </xdr:twoCellAnchor>
  <xdr:twoCellAnchor editAs="oneCell">
    <xdr:from>
      <xdr:col>4</xdr:col>
      <xdr:colOff>44450</xdr:colOff>
      <xdr:row>115</xdr:row>
      <xdr:rowOff>19130</xdr:rowOff>
    </xdr:from>
    <xdr:to>
      <xdr:col>4</xdr:col>
      <xdr:colOff>210185</xdr:colOff>
      <xdr:row>116</xdr:row>
      <xdr:rowOff>895</xdr:rowOff>
    </xdr:to>
    <xdr:pic>
      <xdr:nvPicPr>
        <xdr:cNvPr id="9" name="Picture 8">
          <a:extLst>
            <a:ext uri="{FF2B5EF4-FFF2-40B4-BE49-F238E27FC236}">
              <a16:creationId xmlns:a16="http://schemas.microsoft.com/office/drawing/2014/main" id="{E6E60861-BB08-42A9-BCB4-16E242A9C908}"/>
            </a:ext>
          </a:extLst>
        </xdr:cNvPr>
        <xdr:cNvPicPr>
          <a:picLocks noChangeAspect="1"/>
        </xdr:cNvPicPr>
      </xdr:nvPicPr>
      <xdr:blipFill>
        <a:blip xmlns:r="http://schemas.openxmlformats.org/officeDocument/2006/relationships" r:embed="rId3"/>
        <a:stretch>
          <a:fillRect/>
        </a:stretch>
      </xdr:blipFill>
      <xdr:spPr>
        <a:xfrm flipV="1">
          <a:off x="5245100" y="20326430"/>
          <a:ext cx="171450" cy="165918"/>
        </a:xfrm>
        <a:prstGeom prst="rect">
          <a:avLst/>
        </a:prstGeom>
      </xdr:spPr>
    </xdr:pic>
    <xdr:clientData/>
  </xdr:twoCellAnchor>
  <xdr:oneCellAnchor>
    <xdr:from>
      <xdr:col>1</xdr:col>
      <xdr:colOff>20248</xdr:colOff>
      <xdr:row>115</xdr:row>
      <xdr:rowOff>8127</xdr:rowOff>
    </xdr:from>
    <xdr:ext cx="199069" cy="170387"/>
    <xdr:pic>
      <xdr:nvPicPr>
        <xdr:cNvPr id="10" name="Picture 9">
          <a:extLst>
            <a:ext uri="{FF2B5EF4-FFF2-40B4-BE49-F238E27FC236}">
              <a16:creationId xmlns:a16="http://schemas.microsoft.com/office/drawing/2014/main" id="{E783965E-7460-4779-BEBF-4BA35EB58C31}"/>
            </a:ext>
          </a:extLst>
        </xdr:cNvPr>
        <xdr:cNvPicPr>
          <a:picLocks noChangeAspect="1"/>
        </xdr:cNvPicPr>
      </xdr:nvPicPr>
      <xdr:blipFill>
        <a:blip xmlns:r="http://schemas.openxmlformats.org/officeDocument/2006/relationships" r:embed="rId4"/>
        <a:stretch>
          <a:fillRect/>
        </a:stretch>
      </xdr:blipFill>
      <xdr:spPr>
        <a:xfrm>
          <a:off x="1487098" y="20315427"/>
          <a:ext cx="199069" cy="170387"/>
        </a:xfrm>
        <a:prstGeom prst="rect">
          <a:avLst/>
        </a:prstGeom>
      </xdr:spPr>
    </xdr:pic>
    <xdr:clientData/>
  </xdr:oneCellAnchor>
  <xdr:twoCellAnchor editAs="oneCell">
    <xdr:from>
      <xdr:col>0</xdr:col>
      <xdr:colOff>0</xdr:colOff>
      <xdr:row>115</xdr:row>
      <xdr:rowOff>7863</xdr:rowOff>
    </xdr:from>
    <xdr:to>
      <xdr:col>0</xdr:col>
      <xdr:colOff>212596</xdr:colOff>
      <xdr:row>116</xdr:row>
      <xdr:rowOff>245</xdr:rowOff>
    </xdr:to>
    <xdr:pic>
      <xdr:nvPicPr>
        <xdr:cNvPr id="11" name="Picture 10">
          <a:extLst>
            <a:ext uri="{FF2B5EF4-FFF2-40B4-BE49-F238E27FC236}">
              <a16:creationId xmlns:a16="http://schemas.microsoft.com/office/drawing/2014/main" id="{AA216CC7-3924-49B1-9AAF-E4BC03F3B3C3}"/>
            </a:ext>
          </a:extLst>
        </xdr:cNvPr>
        <xdr:cNvPicPr>
          <a:picLocks noChangeAspect="1"/>
        </xdr:cNvPicPr>
      </xdr:nvPicPr>
      <xdr:blipFill>
        <a:blip xmlns:r="http://schemas.openxmlformats.org/officeDocument/2006/relationships" r:embed="rId5"/>
        <a:stretch>
          <a:fillRect/>
        </a:stretch>
      </xdr:blipFill>
      <xdr:spPr>
        <a:xfrm>
          <a:off x="0" y="20315163"/>
          <a:ext cx="208786" cy="176535"/>
        </a:xfrm>
        <a:prstGeom prst="rect">
          <a:avLst/>
        </a:prstGeom>
      </xdr:spPr>
    </xdr:pic>
    <xdr:clientData/>
  </xdr:twoCellAnchor>
  <xdr:twoCellAnchor>
    <xdr:from>
      <xdr:col>0</xdr:col>
      <xdr:colOff>30010</xdr:colOff>
      <xdr:row>29</xdr:row>
      <xdr:rowOff>25935</xdr:rowOff>
    </xdr:from>
    <xdr:to>
      <xdr:col>2</xdr:col>
      <xdr:colOff>233456</xdr:colOff>
      <xdr:row>43</xdr:row>
      <xdr:rowOff>158750</xdr:rowOff>
    </xdr:to>
    <xdr:grpSp>
      <xdr:nvGrpSpPr>
        <xdr:cNvPr id="12" name="Group 11">
          <a:extLst>
            <a:ext uri="{FF2B5EF4-FFF2-40B4-BE49-F238E27FC236}">
              <a16:creationId xmlns:a16="http://schemas.microsoft.com/office/drawing/2014/main" id="{446EF856-65FD-4D7D-ABC1-58486CDC2388}"/>
            </a:ext>
          </a:extLst>
        </xdr:cNvPr>
        <xdr:cNvGrpSpPr/>
      </xdr:nvGrpSpPr>
      <xdr:grpSpPr>
        <a:xfrm>
          <a:off x="30010" y="7274460"/>
          <a:ext cx="4880221" cy="2666465"/>
          <a:chOff x="77635" y="5406915"/>
          <a:chExt cx="2829628" cy="2158877"/>
        </a:xfrm>
      </xdr:grpSpPr>
      <xdr:graphicFrame macro="">
        <xdr:nvGraphicFramePr>
          <xdr:cNvPr id="13" name="Chart 12">
            <a:extLst>
              <a:ext uri="{FF2B5EF4-FFF2-40B4-BE49-F238E27FC236}">
                <a16:creationId xmlns:a16="http://schemas.microsoft.com/office/drawing/2014/main" id="{5D8E5529-D888-0280-71F7-E33A39E7C965}"/>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14" name="TextBox 13">
            <a:extLst>
              <a:ext uri="{FF2B5EF4-FFF2-40B4-BE49-F238E27FC236}">
                <a16:creationId xmlns:a16="http://schemas.microsoft.com/office/drawing/2014/main" id="{6C5943E0-B8E7-58D3-5F92-4F0BBEBB40B6}"/>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0DCECEA-3729-4FB0-B339-E6043ED06EA3}" type="TxLink">
              <a:rPr lang="en-US" sz="1200" b="1" i="0" u="none" strike="noStrike">
                <a:solidFill>
                  <a:srgbClr val="000000"/>
                </a:solidFill>
                <a:latin typeface="Aptos Narrow"/>
                <a:ea typeface="Calibri"/>
                <a:cs typeface="Calibri"/>
              </a:rPr>
              <a:pPr algn="ctr"/>
              <a:t>NPI  -Design Maturity Index (%)</a:t>
            </a:fld>
            <a:endParaRPr lang="en-IN" sz="2800" b="1"/>
          </a:p>
        </xdr:txBody>
      </xdr:sp>
    </xdr:grpSp>
    <xdr:clientData/>
  </xdr:twoCellAnchor>
  <xdr:twoCellAnchor>
    <xdr:from>
      <xdr:col>2</xdr:col>
      <xdr:colOff>313736</xdr:colOff>
      <xdr:row>29</xdr:row>
      <xdr:rowOff>5136</xdr:rowOff>
    </xdr:from>
    <xdr:to>
      <xdr:col>5</xdr:col>
      <xdr:colOff>775074</xdr:colOff>
      <xdr:row>43</xdr:row>
      <xdr:rowOff>155948</xdr:rowOff>
    </xdr:to>
    <xdr:grpSp>
      <xdr:nvGrpSpPr>
        <xdr:cNvPr id="24" name="Group 14">
          <a:extLst>
            <a:ext uri="{FF2B5EF4-FFF2-40B4-BE49-F238E27FC236}">
              <a16:creationId xmlns:a16="http://schemas.microsoft.com/office/drawing/2014/main" id="{AC724CDF-9FB3-4196-A24B-BDB45D808A20}"/>
            </a:ext>
          </a:extLst>
        </xdr:cNvPr>
        <xdr:cNvGrpSpPr/>
      </xdr:nvGrpSpPr>
      <xdr:grpSpPr>
        <a:xfrm>
          <a:off x="4990511" y="7253661"/>
          <a:ext cx="4757113" cy="2684462"/>
          <a:chOff x="2905974" y="5419664"/>
          <a:chExt cx="3092518" cy="2147057"/>
        </a:xfrm>
      </xdr:grpSpPr>
      <xdr:graphicFrame macro="">
        <xdr:nvGraphicFramePr>
          <xdr:cNvPr id="25" name="Chart 15">
            <a:extLst>
              <a:ext uri="{FF2B5EF4-FFF2-40B4-BE49-F238E27FC236}">
                <a16:creationId xmlns:a16="http://schemas.microsoft.com/office/drawing/2014/main" id="{B9E4A61D-92E1-D5AF-6DB4-084FAE97132F}"/>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26" name="TextBox 16">
            <a:extLst>
              <a:ext uri="{FF2B5EF4-FFF2-40B4-BE49-F238E27FC236}">
                <a16:creationId xmlns:a16="http://schemas.microsoft.com/office/drawing/2014/main" id="{D559C7CC-DE92-AA34-C24B-B669AF7178E3}"/>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73EF302-8743-4035-AA19-D87C4B9327CC}" type="TxLink">
              <a:rPr lang="en-US" sz="1200" b="1" i="0" u="none" strike="noStrike">
                <a:solidFill>
                  <a:srgbClr val="000000"/>
                </a:solidFill>
                <a:latin typeface="Aptos Narrow"/>
                <a:ea typeface="Calibri"/>
                <a:cs typeface="Calibri"/>
              </a:rPr>
              <a:pPr algn="ctr"/>
              <a:t>NPI Dhruv - Say-Do Ratio (%)</a:t>
            </a:fld>
            <a:endParaRPr lang="en-IN" sz="2800" b="1"/>
          </a:p>
        </xdr:txBody>
      </xdr:sp>
    </xdr:grpSp>
    <xdr:clientData/>
  </xdr:twoCellAnchor>
  <xdr:twoCellAnchor>
    <xdr:from>
      <xdr:col>5</xdr:col>
      <xdr:colOff>889561</xdr:colOff>
      <xdr:row>28</xdr:row>
      <xdr:rowOff>242795</xdr:rowOff>
    </xdr:from>
    <xdr:to>
      <xdr:col>9</xdr:col>
      <xdr:colOff>896470</xdr:colOff>
      <xdr:row>43</xdr:row>
      <xdr:rowOff>139887</xdr:rowOff>
    </xdr:to>
    <xdr:grpSp>
      <xdr:nvGrpSpPr>
        <xdr:cNvPr id="18" name="Group 17">
          <a:extLst>
            <a:ext uri="{FF2B5EF4-FFF2-40B4-BE49-F238E27FC236}">
              <a16:creationId xmlns:a16="http://schemas.microsoft.com/office/drawing/2014/main" id="{9C7FDDEC-85B2-45C5-9728-F77F12F75702}"/>
            </a:ext>
          </a:extLst>
        </xdr:cNvPr>
        <xdr:cNvGrpSpPr/>
      </xdr:nvGrpSpPr>
      <xdr:grpSpPr>
        <a:xfrm>
          <a:off x="9862111" y="7243670"/>
          <a:ext cx="4178859" cy="2678392"/>
          <a:chOff x="5810561" y="5397766"/>
          <a:chExt cx="2667443" cy="2269965"/>
        </a:xfrm>
      </xdr:grpSpPr>
      <xdr:graphicFrame macro="">
        <xdr:nvGraphicFramePr>
          <xdr:cNvPr id="19" name="Chart 18">
            <a:extLst>
              <a:ext uri="{FF2B5EF4-FFF2-40B4-BE49-F238E27FC236}">
                <a16:creationId xmlns:a16="http://schemas.microsoft.com/office/drawing/2014/main" id="{D52B7C58-F977-310E-0A78-FC463A727E2C}"/>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20" name="TextBox 19">
            <a:extLst>
              <a:ext uri="{FF2B5EF4-FFF2-40B4-BE49-F238E27FC236}">
                <a16:creationId xmlns:a16="http://schemas.microsoft.com/office/drawing/2014/main" id="{81CCD1E5-513C-2952-C2D6-0313ADD592E8}"/>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15B60CE-9AE0-4055-855B-723F2E046BE9}" type="TxLink">
              <a:rPr lang="en-US" sz="1200" b="1" i="0" u="none" strike="noStrike">
                <a:solidFill>
                  <a:srgbClr val="000000"/>
                </a:solidFill>
                <a:latin typeface="Aptos Narrow"/>
                <a:ea typeface="Calibri"/>
                <a:cs typeface="Calibri"/>
              </a:rPr>
              <a:pPr algn="ctr"/>
              <a:t>NPI -Supplier Readiness Completion (%)</a:t>
            </a:fld>
            <a:endParaRPr lang="en-IN" sz="2800" b="1"/>
          </a:p>
        </xdr:txBody>
      </xdr:sp>
    </xdr:grpSp>
    <xdr:clientData/>
  </xdr:twoCellAnchor>
  <xdr:twoCellAnchor>
    <xdr:from>
      <xdr:col>9</xdr:col>
      <xdr:colOff>1000125</xdr:colOff>
      <xdr:row>29</xdr:row>
      <xdr:rowOff>7937</xdr:rowOff>
    </xdr:from>
    <xdr:to>
      <xdr:col>13</xdr:col>
      <xdr:colOff>460374</xdr:colOff>
      <xdr:row>43</xdr:row>
      <xdr:rowOff>150813</xdr:rowOff>
    </xdr:to>
    <xdr:grpSp>
      <xdr:nvGrpSpPr>
        <xdr:cNvPr id="21" name="Group 20">
          <a:extLst>
            <a:ext uri="{FF2B5EF4-FFF2-40B4-BE49-F238E27FC236}">
              <a16:creationId xmlns:a16="http://schemas.microsoft.com/office/drawing/2014/main" id="{27D89B96-B109-4A62-A021-942A739084EF}"/>
            </a:ext>
          </a:extLst>
        </xdr:cNvPr>
        <xdr:cNvGrpSpPr/>
      </xdr:nvGrpSpPr>
      <xdr:grpSpPr>
        <a:xfrm>
          <a:off x="14144625" y="7256462"/>
          <a:ext cx="3832224" cy="2676526"/>
          <a:chOff x="8567036" y="5412365"/>
          <a:chExt cx="2683519" cy="2171271"/>
        </a:xfrm>
      </xdr:grpSpPr>
      <xdr:graphicFrame macro="">
        <xdr:nvGraphicFramePr>
          <xdr:cNvPr id="22" name="Chart 21">
            <a:extLst>
              <a:ext uri="{FF2B5EF4-FFF2-40B4-BE49-F238E27FC236}">
                <a16:creationId xmlns:a16="http://schemas.microsoft.com/office/drawing/2014/main" id="{69C9ACB8-0BC0-53BF-343B-72C4E9D8E06F}"/>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6">
        <xdr:nvSpPr>
          <xdr:cNvPr id="23" name="TextBox 22">
            <a:extLst>
              <a:ext uri="{FF2B5EF4-FFF2-40B4-BE49-F238E27FC236}">
                <a16:creationId xmlns:a16="http://schemas.microsoft.com/office/drawing/2014/main" id="{05C03B33-5EAF-661B-57FC-10FB9FECAF05}"/>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F8EDBD9-E2B5-4DE6-B4A1-C30E75378D8E}" type="TxLink">
              <a:rPr lang="en-US" sz="1200" b="1" i="0" u="none" strike="noStrike">
                <a:solidFill>
                  <a:srgbClr val="000000"/>
                </a:solidFill>
                <a:latin typeface="Aptos Narrow"/>
                <a:ea typeface="Calibri"/>
                <a:cs typeface="Calibri"/>
              </a:rPr>
              <a:pPr algn="ctr"/>
              <a:t>Critical &amp; MLD Milestone Delivery On-Time (%)</a:t>
            </a:fld>
            <a:endParaRPr lang="en-IN" sz="2800" b="1"/>
          </a:p>
        </xdr:txBody>
      </xdr:sp>
    </xdr:grpSp>
    <xdr:clientData/>
  </xdr:twoCellAnchor>
  <xdr:twoCellAnchor>
    <xdr:from>
      <xdr:col>0</xdr:col>
      <xdr:colOff>0</xdr:colOff>
      <xdr:row>68</xdr:row>
      <xdr:rowOff>23585</xdr:rowOff>
    </xdr:from>
    <xdr:to>
      <xdr:col>3</xdr:col>
      <xdr:colOff>2665</xdr:colOff>
      <xdr:row>82</xdr:row>
      <xdr:rowOff>109753</xdr:rowOff>
    </xdr:to>
    <xdr:grpSp>
      <xdr:nvGrpSpPr>
        <xdr:cNvPr id="190" name="Group 29">
          <a:extLst>
            <a:ext uri="{FF2B5EF4-FFF2-40B4-BE49-F238E27FC236}">
              <a16:creationId xmlns:a16="http://schemas.microsoft.com/office/drawing/2014/main" id="{490091DA-9593-47AE-A3B0-2D4313CF6003}"/>
            </a:ext>
          </a:extLst>
        </xdr:cNvPr>
        <xdr:cNvGrpSpPr/>
      </xdr:nvGrpSpPr>
      <xdr:grpSpPr>
        <a:xfrm>
          <a:off x="0" y="16387535"/>
          <a:ext cx="6374890"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191" name="Chart 30">
                <a:extLst>
                  <a:ext uri="{FF2B5EF4-FFF2-40B4-BE49-F238E27FC236}">
                    <a16:creationId xmlns:a16="http://schemas.microsoft.com/office/drawing/2014/main" id="{37FE56A3-8972-C6EC-387D-79D531EEEC83}"/>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1">
        <xdr:nvSpPr>
          <xdr:cNvPr id="192" name="TextBox 31">
            <a:extLst>
              <a:ext uri="{FF2B5EF4-FFF2-40B4-BE49-F238E27FC236}">
                <a16:creationId xmlns:a16="http://schemas.microsoft.com/office/drawing/2014/main" id="{7C521FA2-84C2-F281-CCCB-CA20E0202A6A}"/>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Dhruv - PSW Sec5 is not on track</a:t>
            </a:fld>
            <a:endParaRPr lang="en-IN" sz="1600" b="1"/>
          </a:p>
        </xdr:txBody>
      </xdr:sp>
    </xdr:grpSp>
    <xdr:clientData/>
  </xdr:twoCellAnchor>
  <xdr:twoCellAnchor>
    <xdr:from>
      <xdr:col>3</xdr:col>
      <xdr:colOff>8411</xdr:colOff>
      <xdr:row>67</xdr:row>
      <xdr:rowOff>268389</xdr:rowOff>
    </xdr:from>
    <xdr:to>
      <xdr:col>5</xdr:col>
      <xdr:colOff>1259473</xdr:colOff>
      <xdr:row>82</xdr:row>
      <xdr:rowOff>135865</xdr:rowOff>
    </xdr:to>
    <xdr:grpSp>
      <xdr:nvGrpSpPr>
        <xdr:cNvPr id="193" name="Group 32">
          <a:extLst>
            <a:ext uri="{FF2B5EF4-FFF2-40B4-BE49-F238E27FC236}">
              <a16:creationId xmlns:a16="http://schemas.microsoft.com/office/drawing/2014/main" id="{EB96C9A2-F179-4A86-9F5C-E96961621236}"/>
            </a:ext>
          </a:extLst>
        </xdr:cNvPr>
        <xdr:cNvGrpSpPr/>
      </xdr:nvGrpSpPr>
      <xdr:grpSpPr>
        <a:xfrm>
          <a:off x="6380636" y="16365639"/>
          <a:ext cx="3851387"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194" name="Chart 33">
                <a:extLst>
                  <a:ext uri="{FF2B5EF4-FFF2-40B4-BE49-F238E27FC236}">
                    <a16:creationId xmlns:a16="http://schemas.microsoft.com/office/drawing/2014/main" id="{AF18BF56-D8DE-1459-6FBD-66E108FBDEA4}"/>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4">
        <xdr:nvSpPr>
          <xdr:cNvPr id="195" name="TextBox 34">
            <a:extLst>
              <a:ext uri="{FF2B5EF4-FFF2-40B4-BE49-F238E27FC236}">
                <a16:creationId xmlns:a16="http://schemas.microsoft.com/office/drawing/2014/main" id="{81872AC8-A35F-E3A2-4BD2-DF46B6C3F393}"/>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Dhruv - LOD completion for PLC not on track</a:t>
            </a:fld>
            <a:endParaRPr lang="en-IN" sz="1600" b="1"/>
          </a:p>
        </xdr:txBody>
      </xdr:sp>
    </xdr:grpSp>
    <xdr:clientData/>
  </xdr:twoCellAnchor>
  <xdr:twoCellAnchor>
    <xdr:from>
      <xdr:col>5</xdr:col>
      <xdr:colOff>1285639</xdr:colOff>
      <xdr:row>68</xdr:row>
      <xdr:rowOff>12137</xdr:rowOff>
    </xdr:from>
    <xdr:to>
      <xdr:col>9</xdr:col>
      <xdr:colOff>897232</xdr:colOff>
      <xdr:row>82</xdr:row>
      <xdr:rowOff>122257</xdr:rowOff>
    </xdr:to>
    <xdr:grpSp>
      <xdr:nvGrpSpPr>
        <xdr:cNvPr id="177" name="Group 35">
          <a:extLst>
            <a:ext uri="{FF2B5EF4-FFF2-40B4-BE49-F238E27FC236}">
              <a16:creationId xmlns:a16="http://schemas.microsoft.com/office/drawing/2014/main" id="{0DDD75D2-5BDD-4C46-8077-E05A26F970F0}"/>
            </a:ext>
          </a:extLst>
        </xdr:cNvPr>
        <xdr:cNvGrpSpPr/>
      </xdr:nvGrpSpPr>
      <xdr:grpSpPr>
        <a:xfrm>
          <a:off x="10258189" y="16376087"/>
          <a:ext cx="3783543"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78" name="Chart 36">
                <a:extLst>
                  <a:ext uri="{FF2B5EF4-FFF2-40B4-BE49-F238E27FC236}">
                    <a16:creationId xmlns:a16="http://schemas.microsoft.com/office/drawing/2014/main" id="{D30872C9-135C-08CC-1486-CEAE37224C05}"/>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179" name="TextBox 37">
            <a:extLst>
              <a:ext uri="{FF2B5EF4-FFF2-40B4-BE49-F238E27FC236}">
                <a16:creationId xmlns:a16="http://schemas.microsoft.com/office/drawing/2014/main" id="{D5F9797E-1238-9204-7A79-0829CAB6789A}"/>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sicr Inflow vs outflow
High SICR's Inflow  in April month</a:t>
            </a:fld>
            <a:endParaRPr lang="en-IN" sz="1600" b="1"/>
          </a:p>
        </xdr:txBody>
      </xdr:sp>
    </xdr:grpSp>
    <xdr:clientData/>
  </xdr:twoCellAnchor>
  <xdr:twoCellAnchor>
    <xdr:from>
      <xdr:col>9</xdr:col>
      <xdr:colOff>941093</xdr:colOff>
      <xdr:row>68</xdr:row>
      <xdr:rowOff>21447</xdr:rowOff>
    </xdr:from>
    <xdr:to>
      <xdr:col>13</xdr:col>
      <xdr:colOff>296687</xdr:colOff>
      <xdr:row>82</xdr:row>
      <xdr:rowOff>121288</xdr:rowOff>
    </xdr:to>
    <xdr:grpSp>
      <xdr:nvGrpSpPr>
        <xdr:cNvPr id="187" name="Group 38">
          <a:extLst>
            <a:ext uri="{FF2B5EF4-FFF2-40B4-BE49-F238E27FC236}">
              <a16:creationId xmlns:a16="http://schemas.microsoft.com/office/drawing/2014/main" id="{70B7F484-0255-4B41-A748-1BFFE68B059D}"/>
            </a:ext>
          </a:extLst>
        </xdr:cNvPr>
        <xdr:cNvGrpSpPr/>
      </xdr:nvGrpSpPr>
      <xdr:grpSpPr>
        <a:xfrm>
          <a:off x="14085593" y="16385397"/>
          <a:ext cx="3727569" cy="2633491"/>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188" name="Chart 39">
                <a:extLst>
                  <a:ext uri="{FF2B5EF4-FFF2-40B4-BE49-F238E27FC236}">
                    <a16:creationId xmlns:a16="http://schemas.microsoft.com/office/drawing/2014/main" id="{37A50699-42ED-5207-47F4-A17725979D73}"/>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0">
        <xdr:nvSpPr>
          <xdr:cNvPr id="189" name="TextBox 40">
            <a:extLst>
              <a:ext uri="{FF2B5EF4-FFF2-40B4-BE49-F238E27FC236}">
                <a16:creationId xmlns:a16="http://schemas.microsoft.com/office/drawing/2014/main" id="{6836BAF0-EEF9-B60B-2891-739398146156}"/>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Adhoc request Flow is high </a:t>
            </a:fld>
            <a:endParaRPr lang="en-IN" sz="1600" b="1"/>
          </a:p>
        </xdr:txBody>
      </xdr:sp>
    </xdr:grpSp>
    <xdr:clientData/>
  </xdr:twoCellAnchor>
  <xdr:twoCellAnchor>
    <xdr:from>
      <xdr:col>13</xdr:col>
      <xdr:colOff>204554</xdr:colOff>
      <xdr:row>67</xdr:row>
      <xdr:rowOff>236636</xdr:rowOff>
    </xdr:from>
    <xdr:to>
      <xdr:col>16</xdr:col>
      <xdr:colOff>416221</xdr:colOff>
      <xdr:row>82</xdr:row>
      <xdr:rowOff>94074</xdr:rowOff>
    </xdr:to>
    <xdr:grpSp>
      <xdr:nvGrpSpPr>
        <xdr:cNvPr id="183" name="Group 41">
          <a:extLst>
            <a:ext uri="{FF2B5EF4-FFF2-40B4-BE49-F238E27FC236}">
              <a16:creationId xmlns:a16="http://schemas.microsoft.com/office/drawing/2014/main" id="{95399FDC-BC4A-4BC1-B86B-BB6FE833111C}"/>
            </a:ext>
          </a:extLst>
        </xdr:cNvPr>
        <xdr:cNvGrpSpPr/>
      </xdr:nvGrpSpPr>
      <xdr:grpSpPr>
        <a:xfrm>
          <a:off x="17721029" y="16333886"/>
          <a:ext cx="3583517" cy="2657788"/>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185" name="Chart 42">
                <a:extLst>
                  <a:ext uri="{FF2B5EF4-FFF2-40B4-BE49-F238E27FC236}">
                    <a16:creationId xmlns:a16="http://schemas.microsoft.com/office/drawing/2014/main" id="{4DDC1CEA-EE06-E358-0096-D7FA400FF971}"/>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3">
        <xdr:nvSpPr>
          <xdr:cNvPr id="186" name="TextBox 43">
            <a:extLst>
              <a:ext uri="{FF2B5EF4-FFF2-40B4-BE49-F238E27FC236}">
                <a16:creationId xmlns:a16="http://schemas.microsoft.com/office/drawing/2014/main" id="{348CD311-5D93-DBA6-6D37-533AD5AAC080}"/>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67</xdr:row>
      <xdr:rowOff>232552</xdr:rowOff>
    </xdr:from>
    <xdr:to>
      <xdr:col>20</xdr:col>
      <xdr:colOff>31358</xdr:colOff>
      <xdr:row>82</xdr:row>
      <xdr:rowOff>117593</xdr:rowOff>
    </xdr:to>
    <xdr:grpSp>
      <xdr:nvGrpSpPr>
        <xdr:cNvPr id="180" name="Group 44">
          <a:extLst>
            <a:ext uri="{FF2B5EF4-FFF2-40B4-BE49-F238E27FC236}">
              <a16:creationId xmlns:a16="http://schemas.microsoft.com/office/drawing/2014/main" id="{13158675-4903-45B0-A570-911B338FA862}"/>
            </a:ext>
          </a:extLst>
        </xdr:cNvPr>
        <xdr:cNvGrpSpPr/>
      </xdr:nvGrpSpPr>
      <xdr:grpSpPr>
        <a:xfrm>
          <a:off x="21217585" y="16329802"/>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81" name="Chart 45">
                <a:extLst>
                  <a:ext uri="{FF2B5EF4-FFF2-40B4-BE49-F238E27FC236}">
                    <a16:creationId xmlns:a16="http://schemas.microsoft.com/office/drawing/2014/main" id="{E5695303-4B7A-E04B-C3AB-B8C5F66F9445}"/>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6">
        <xdr:nvSpPr>
          <xdr:cNvPr id="182" name="TextBox 46">
            <a:extLst>
              <a:ext uri="{FF2B5EF4-FFF2-40B4-BE49-F238E27FC236}">
                <a16:creationId xmlns:a16="http://schemas.microsoft.com/office/drawing/2014/main" id="{2ADDFE54-16B5-371B-E147-677C9F78C7D9}"/>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wsDr>
</file>

<file path=xl/drawings/drawing7.xml><?xml version="1.0" encoding="utf-8"?>
<xdr:wsDr xmlns:xdr="http://schemas.openxmlformats.org/drawingml/2006/spreadsheetDrawing" xmlns:a="http://schemas.openxmlformats.org/drawingml/2006/main">
  <xdr:oneCellAnchor>
    <xdr:from>
      <xdr:col>2</xdr:col>
      <xdr:colOff>0</xdr:colOff>
      <xdr:row>43</xdr:row>
      <xdr:rowOff>0</xdr:rowOff>
    </xdr:from>
    <xdr:ext cx="168910" cy="457200"/>
    <xdr:sp macro="" textlink="">
      <xdr:nvSpPr>
        <xdr:cNvPr id="2" name="Text Box 9">
          <a:extLst>
            <a:ext uri="{FF2B5EF4-FFF2-40B4-BE49-F238E27FC236}">
              <a16:creationId xmlns:a16="http://schemas.microsoft.com/office/drawing/2014/main" id="{B93459EA-9B45-4703-B16B-233F105BA9BE}"/>
            </a:ext>
          </a:extLst>
        </xdr:cNvPr>
        <xdr:cNvSpPr txBox="1">
          <a:spLocks noChangeArrowheads="1"/>
        </xdr:cNvSpPr>
      </xdr:nvSpPr>
      <xdr:spPr bwMode="auto">
        <a:xfrm>
          <a:off x="3695700" y="8029575"/>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43</xdr:row>
      <xdr:rowOff>0</xdr:rowOff>
    </xdr:from>
    <xdr:ext cx="167005" cy="457200"/>
    <xdr:sp macro="" textlink="">
      <xdr:nvSpPr>
        <xdr:cNvPr id="3" name="Text Box 13">
          <a:extLst>
            <a:ext uri="{FF2B5EF4-FFF2-40B4-BE49-F238E27FC236}">
              <a16:creationId xmlns:a16="http://schemas.microsoft.com/office/drawing/2014/main" id="{FE896795-B5D6-452C-90EC-DC3A47B8A6BA}"/>
            </a:ext>
          </a:extLst>
        </xdr:cNvPr>
        <xdr:cNvSpPr txBox="1">
          <a:spLocks noChangeArrowheads="1"/>
        </xdr:cNvSpPr>
      </xdr:nvSpPr>
      <xdr:spPr bwMode="auto">
        <a:xfrm>
          <a:off x="13477875" y="8029575"/>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43</xdr:row>
      <xdr:rowOff>0</xdr:rowOff>
    </xdr:from>
    <xdr:ext cx="167005" cy="457200"/>
    <xdr:sp macro="" textlink="">
      <xdr:nvSpPr>
        <xdr:cNvPr id="4" name="Text Box 13">
          <a:extLst>
            <a:ext uri="{FF2B5EF4-FFF2-40B4-BE49-F238E27FC236}">
              <a16:creationId xmlns:a16="http://schemas.microsoft.com/office/drawing/2014/main" id="{E8FD9957-70AC-4ADB-9560-262F6DBBC2EB}"/>
            </a:ext>
          </a:extLst>
        </xdr:cNvPr>
        <xdr:cNvSpPr txBox="1">
          <a:spLocks noChangeArrowheads="1"/>
        </xdr:cNvSpPr>
      </xdr:nvSpPr>
      <xdr:spPr bwMode="auto">
        <a:xfrm>
          <a:off x="13477875" y="8029575"/>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43</xdr:row>
      <xdr:rowOff>0</xdr:rowOff>
    </xdr:from>
    <xdr:ext cx="152400" cy="457200"/>
    <xdr:sp macro="" textlink="">
      <xdr:nvSpPr>
        <xdr:cNvPr id="5" name="Text Box 13">
          <a:extLst>
            <a:ext uri="{FF2B5EF4-FFF2-40B4-BE49-F238E27FC236}">
              <a16:creationId xmlns:a16="http://schemas.microsoft.com/office/drawing/2014/main" id="{146F800F-033C-4A95-ABDB-B9EDD45D624C}"/>
            </a:ext>
          </a:extLst>
        </xdr:cNvPr>
        <xdr:cNvSpPr txBox="1">
          <a:spLocks noChangeArrowheads="1"/>
        </xdr:cNvSpPr>
      </xdr:nvSpPr>
      <xdr:spPr bwMode="auto">
        <a:xfrm>
          <a:off x="13457609" y="8029575"/>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43</xdr:row>
      <xdr:rowOff>0</xdr:rowOff>
    </xdr:from>
    <xdr:ext cx="168910" cy="457200"/>
    <xdr:sp macro="" textlink="">
      <xdr:nvSpPr>
        <xdr:cNvPr id="6" name="Text Box 9">
          <a:extLst>
            <a:ext uri="{FF2B5EF4-FFF2-40B4-BE49-F238E27FC236}">
              <a16:creationId xmlns:a16="http://schemas.microsoft.com/office/drawing/2014/main" id="{F27AC5CC-5B66-4A14-87F1-C9FF5ADA377F}"/>
            </a:ext>
          </a:extLst>
        </xdr:cNvPr>
        <xdr:cNvSpPr txBox="1">
          <a:spLocks noChangeArrowheads="1"/>
        </xdr:cNvSpPr>
      </xdr:nvSpPr>
      <xdr:spPr bwMode="auto">
        <a:xfrm>
          <a:off x="3726303" y="8029575"/>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0</xdr:col>
      <xdr:colOff>30010</xdr:colOff>
      <xdr:row>25</xdr:row>
      <xdr:rowOff>25935</xdr:rowOff>
    </xdr:from>
    <xdr:to>
      <xdr:col>2</xdr:col>
      <xdr:colOff>531812</xdr:colOff>
      <xdr:row>39</xdr:row>
      <xdr:rowOff>158750</xdr:rowOff>
    </xdr:to>
    <xdr:grpSp>
      <xdr:nvGrpSpPr>
        <xdr:cNvPr id="7" name="Group 6">
          <a:extLst>
            <a:ext uri="{FF2B5EF4-FFF2-40B4-BE49-F238E27FC236}">
              <a16:creationId xmlns:a16="http://schemas.microsoft.com/office/drawing/2014/main" id="{FDF47F14-491F-4025-886B-6260FEBD27C2}"/>
            </a:ext>
          </a:extLst>
        </xdr:cNvPr>
        <xdr:cNvGrpSpPr/>
      </xdr:nvGrpSpPr>
      <xdr:grpSpPr>
        <a:xfrm>
          <a:off x="30010" y="4455060"/>
          <a:ext cx="4197502" cy="2666465"/>
          <a:chOff x="77635" y="5406915"/>
          <a:chExt cx="2829628" cy="2158877"/>
        </a:xfrm>
      </xdr:grpSpPr>
      <xdr:graphicFrame macro="">
        <xdr:nvGraphicFramePr>
          <xdr:cNvPr id="8" name="Chart 7">
            <a:extLst>
              <a:ext uri="{FF2B5EF4-FFF2-40B4-BE49-F238E27FC236}">
                <a16:creationId xmlns:a16="http://schemas.microsoft.com/office/drawing/2014/main" id="{6318CB3C-2D06-14ED-B0B3-11E485788086}"/>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1"/>
          </a:graphicData>
        </a:graphic>
      </xdr:graphicFrame>
      <xdr:sp macro="" textlink="$A$14">
        <xdr:nvSpPr>
          <xdr:cNvPr id="9" name="TextBox 8">
            <a:extLst>
              <a:ext uri="{FF2B5EF4-FFF2-40B4-BE49-F238E27FC236}">
                <a16:creationId xmlns:a16="http://schemas.microsoft.com/office/drawing/2014/main" id="{A1BF6832-F924-20EC-0159-C7C1EFC058AC}"/>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Sales tool delivery</a:t>
            </a:fld>
            <a:endParaRPr lang="en-IN" sz="1800" b="1"/>
          </a:p>
        </xdr:txBody>
      </xdr:sp>
    </xdr:grpSp>
    <xdr:clientData/>
  </xdr:twoCellAnchor>
  <xdr:twoCellAnchor>
    <xdr:from>
      <xdr:col>2</xdr:col>
      <xdr:colOff>618869</xdr:colOff>
      <xdr:row>25</xdr:row>
      <xdr:rowOff>16819</xdr:rowOff>
    </xdr:from>
    <xdr:to>
      <xdr:col>5</xdr:col>
      <xdr:colOff>92051</xdr:colOff>
      <xdr:row>39</xdr:row>
      <xdr:rowOff>166044</xdr:rowOff>
    </xdr:to>
    <xdr:grpSp>
      <xdr:nvGrpSpPr>
        <xdr:cNvPr id="10" name="Group 14">
          <a:extLst>
            <a:ext uri="{FF2B5EF4-FFF2-40B4-BE49-F238E27FC236}">
              <a16:creationId xmlns:a16="http://schemas.microsoft.com/office/drawing/2014/main" id="{5FD72D1C-59F5-4620-8C25-0B25BFD547D1}"/>
            </a:ext>
          </a:extLst>
        </xdr:cNvPr>
        <xdr:cNvGrpSpPr/>
      </xdr:nvGrpSpPr>
      <xdr:grpSpPr>
        <a:xfrm>
          <a:off x="4314569" y="4445944"/>
          <a:ext cx="6093057" cy="2682875"/>
          <a:chOff x="2905974" y="5419664"/>
          <a:chExt cx="3092518" cy="2147057"/>
        </a:xfrm>
      </xdr:grpSpPr>
      <xdr:graphicFrame macro="">
        <xdr:nvGraphicFramePr>
          <xdr:cNvPr id="11" name="Chart 15">
            <a:extLst>
              <a:ext uri="{FF2B5EF4-FFF2-40B4-BE49-F238E27FC236}">
                <a16:creationId xmlns:a16="http://schemas.microsoft.com/office/drawing/2014/main" id="{CC1BF4BF-8B31-7ADE-136D-E1361CFFD0C3}"/>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2"/>
          </a:graphicData>
        </a:graphic>
      </xdr:graphicFrame>
      <xdr:sp macro="" textlink="$A$16">
        <xdr:nvSpPr>
          <xdr:cNvPr id="12" name="TextBox 16">
            <a:extLst>
              <a:ext uri="{FF2B5EF4-FFF2-40B4-BE49-F238E27FC236}">
                <a16:creationId xmlns:a16="http://schemas.microsoft.com/office/drawing/2014/main" id="{4774A599-9B9F-F60D-0E44-C9B67A4459E8}"/>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Sales support</a:t>
            </a:fld>
            <a:endParaRPr lang="en-IN" sz="1800" b="1"/>
          </a:p>
        </xdr:txBody>
      </xdr:sp>
    </xdr:grpSp>
    <xdr:clientData/>
  </xdr:twoCellAnchor>
  <xdr:twoCellAnchor>
    <xdr:from>
      <xdr:col>5</xdr:col>
      <xdr:colOff>164935</xdr:colOff>
      <xdr:row>25</xdr:row>
      <xdr:rowOff>28379</xdr:rowOff>
    </xdr:from>
    <xdr:to>
      <xdr:col>8</xdr:col>
      <xdr:colOff>1001259</xdr:colOff>
      <xdr:row>40</xdr:row>
      <xdr:rowOff>470</xdr:rowOff>
    </xdr:to>
    <xdr:grpSp>
      <xdr:nvGrpSpPr>
        <xdr:cNvPr id="13" name="Group 17">
          <a:extLst>
            <a:ext uri="{FF2B5EF4-FFF2-40B4-BE49-F238E27FC236}">
              <a16:creationId xmlns:a16="http://schemas.microsoft.com/office/drawing/2014/main" id="{601C81E5-BDB1-4309-B465-487AFB7FD639}"/>
            </a:ext>
          </a:extLst>
        </xdr:cNvPr>
        <xdr:cNvGrpSpPr/>
      </xdr:nvGrpSpPr>
      <xdr:grpSpPr>
        <a:xfrm>
          <a:off x="10480510" y="4457504"/>
          <a:ext cx="3398549" cy="2686716"/>
          <a:chOff x="5810561" y="5397766"/>
          <a:chExt cx="2667443" cy="2269965"/>
        </a:xfrm>
      </xdr:grpSpPr>
      <xdr:graphicFrame macro="">
        <xdr:nvGraphicFramePr>
          <xdr:cNvPr id="14" name="Chart 18">
            <a:extLst>
              <a:ext uri="{FF2B5EF4-FFF2-40B4-BE49-F238E27FC236}">
                <a16:creationId xmlns:a16="http://schemas.microsoft.com/office/drawing/2014/main" id="{E5840774-6B9F-4016-6B03-103367B7AEA4}"/>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3"/>
          </a:graphicData>
        </a:graphic>
      </xdr:graphicFrame>
      <xdr:sp macro="" textlink="$A$18">
        <xdr:nvSpPr>
          <xdr:cNvPr id="15" name="TextBox 19">
            <a:extLst>
              <a:ext uri="{FF2B5EF4-FFF2-40B4-BE49-F238E27FC236}">
                <a16:creationId xmlns:a16="http://schemas.microsoft.com/office/drawing/2014/main" id="{4861B6B5-CC9B-F0D5-3E70-BC087AB00F0B}"/>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Sales training</a:t>
            </a:fld>
            <a:endParaRPr lang="en-IN" sz="1800" b="1"/>
          </a:p>
        </xdr:txBody>
      </xdr:sp>
    </xdr:grpSp>
    <xdr:clientData/>
  </xdr:twoCellAnchor>
  <xdr:oneCellAnchor>
    <xdr:from>
      <xdr:col>2</xdr:col>
      <xdr:colOff>38100</xdr:colOff>
      <xdr:row>116</xdr:row>
      <xdr:rowOff>10092</xdr:rowOff>
    </xdr:from>
    <xdr:ext cx="165099" cy="139210"/>
    <xdr:pic>
      <xdr:nvPicPr>
        <xdr:cNvPr id="16" name="Picture 15">
          <a:extLst>
            <a:ext uri="{FF2B5EF4-FFF2-40B4-BE49-F238E27FC236}">
              <a16:creationId xmlns:a16="http://schemas.microsoft.com/office/drawing/2014/main" id="{3FA71B8B-19B7-4B87-88CE-064F3F0D2344}"/>
            </a:ext>
          </a:extLst>
        </xdr:cNvPr>
        <xdr:cNvPicPr>
          <a:picLocks noChangeAspect="1"/>
        </xdr:cNvPicPr>
      </xdr:nvPicPr>
      <xdr:blipFill>
        <a:blip xmlns:r="http://schemas.openxmlformats.org/officeDocument/2006/relationships" r:embed="rId4"/>
        <a:stretch>
          <a:fillRect/>
        </a:stretch>
      </xdr:blipFill>
      <xdr:spPr>
        <a:xfrm>
          <a:off x="3733800" y="38195817"/>
          <a:ext cx="165099" cy="139210"/>
        </a:xfrm>
        <a:prstGeom prst="rect">
          <a:avLst/>
        </a:prstGeom>
      </xdr:spPr>
    </xdr:pic>
    <xdr:clientData/>
  </xdr:oneCellAnchor>
  <xdr:oneCellAnchor>
    <xdr:from>
      <xdr:col>3</xdr:col>
      <xdr:colOff>13710</xdr:colOff>
      <xdr:row>116</xdr:row>
      <xdr:rowOff>13986</xdr:rowOff>
    </xdr:from>
    <xdr:ext cx="140612" cy="145725"/>
    <xdr:pic>
      <xdr:nvPicPr>
        <xdr:cNvPr id="17" name="Picture 16">
          <a:extLst>
            <a:ext uri="{FF2B5EF4-FFF2-40B4-BE49-F238E27FC236}">
              <a16:creationId xmlns:a16="http://schemas.microsoft.com/office/drawing/2014/main" id="{84357841-4A63-456A-8983-143658D8BA08}"/>
            </a:ext>
          </a:extLst>
        </xdr:cNvPr>
        <xdr:cNvPicPr>
          <a:picLocks noChangeAspect="1"/>
        </xdr:cNvPicPr>
      </xdr:nvPicPr>
      <xdr:blipFill>
        <a:blip xmlns:r="http://schemas.openxmlformats.org/officeDocument/2006/relationships" r:embed="rId5"/>
        <a:stretch>
          <a:fillRect/>
        </a:stretch>
      </xdr:blipFill>
      <xdr:spPr>
        <a:xfrm>
          <a:off x="6919335" y="38199711"/>
          <a:ext cx="140612" cy="145725"/>
        </a:xfrm>
        <a:prstGeom prst="rect">
          <a:avLst/>
        </a:prstGeom>
      </xdr:spPr>
    </xdr:pic>
    <xdr:clientData/>
  </xdr:oneCellAnchor>
  <xdr:oneCellAnchor>
    <xdr:from>
      <xdr:col>4</xdr:col>
      <xdr:colOff>44450</xdr:colOff>
      <xdr:row>116</xdr:row>
      <xdr:rowOff>19130</xdr:rowOff>
    </xdr:from>
    <xdr:ext cx="171450" cy="172268"/>
    <xdr:pic>
      <xdr:nvPicPr>
        <xdr:cNvPr id="18" name="Picture 17">
          <a:extLst>
            <a:ext uri="{FF2B5EF4-FFF2-40B4-BE49-F238E27FC236}">
              <a16:creationId xmlns:a16="http://schemas.microsoft.com/office/drawing/2014/main" id="{1554D5A1-60D8-498A-BA41-CFDC91971423}"/>
            </a:ext>
          </a:extLst>
        </xdr:cNvPr>
        <xdr:cNvPicPr>
          <a:picLocks noChangeAspect="1"/>
        </xdr:cNvPicPr>
      </xdr:nvPicPr>
      <xdr:blipFill>
        <a:blip xmlns:r="http://schemas.openxmlformats.org/officeDocument/2006/relationships" r:embed="rId6"/>
        <a:stretch>
          <a:fillRect/>
        </a:stretch>
      </xdr:blipFill>
      <xdr:spPr>
        <a:xfrm flipV="1">
          <a:off x="8626475" y="38204855"/>
          <a:ext cx="171450" cy="172268"/>
        </a:xfrm>
        <a:prstGeom prst="rect">
          <a:avLst/>
        </a:prstGeom>
      </xdr:spPr>
    </xdr:pic>
    <xdr:clientData/>
  </xdr:oneCellAnchor>
  <xdr:oneCellAnchor>
    <xdr:from>
      <xdr:col>1</xdr:col>
      <xdr:colOff>20248</xdr:colOff>
      <xdr:row>116</xdr:row>
      <xdr:rowOff>8127</xdr:rowOff>
    </xdr:from>
    <xdr:ext cx="199069" cy="170387"/>
    <xdr:pic>
      <xdr:nvPicPr>
        <xdr:cNvPr id="19" name="Picture 18">
          <a:extLst>
            <a:ext uri="{FF2B5EF4-FFF2-40B4-BE49-F238E27FC236}">
              <a16:creationId xmlns:a16="http://schemas.microsoft.com/office/drawing/2014/main" id="{03E4D494-05CF-4F72-8F46-2A3C0F29F7EB}"/>
            </a:ext>
          </a:extLst>
        </xdr:cNvPr>
        <xdr:cNvPicPr>
          <a:picLocks noChangeAspect="1"/>
        </xdr:cNvPicPr>
      </xdr:nvPicPr>
      <xdr:blipFill>
        <a:blip xmlns:r="http://schemas.openxmlformats.org/officeDocument/2006/relationships" r:embed="rId7"/>
        <a:stretch>
          <a:fillRect/>
        </a:stretch>
      </xdr:blipFill>
      <xdr:spPr>
        <a:xfrm>
          <a:off x="1582348" y="38193852"/>
          <a:ext cx="199069" cy="170387"/>
        </a:xfrm>
        <a:prstGeom prst="rect">
          <a:avLst/>
        </a:prstGeom>
      </xdr:spPr>
    </xdr:pic>
    <xdr:clientData/>
  </xdr:oneCellAnchor>
  <xdr:oneCellAnchor>
    <xdr:from>
      <xdr:col>0</xdr:col>
      <xdr:colOff>0</xdr:colOff>
      <xdr:row>116</xdr:row>
      <xdr:rowOff>7863</xdr:rowOff>
    </xdr:from>
    <xdr:ext cx="208786" cy="182885"/>
    <xdr:pic>
      <xdr:nvPicPr>
        <xdr:cNvPr id="20" name="Picture 19">
          <a:extLst>
            <a:ext uri="{FF2B5EF4-FFF2-40B4-BE49-F238E27FC236}">
              <a16:creationId xmlns:a16="http://schemas.microsoft.com/office/drawing/2014/main" id="{F010D3F9-F539-40A7-9626-8C6B0833AAC3}"/>
            </a:ext>
          </a:extLst>
        </xdr:cNvPr>
        <xdr:cNvPicPr>
          <a:picLocks noChangeAspect="1"/>
        </xdr:cNvPicPr>
      </xdr:nvPicPr>
      <xdr:blipFill>
        <a:blip xmlns:r="http://schemas.openxmlformats.org/officeDocument/2006/relationships" r:embed="rId8"/>
        <a:stretch>
          <a:fillRect/>
        </a:stretch>
      </xdr:blipFill>
      <xdr:spPr>
        <a:xfrm>
          <a:off x="0" y="38193588"/>
          <a:ext cx="208786" cy="182885"/>
        </a:xfrm>
        <a:prstGeom prst="rect">
          <a:avLst/>
        </a:prstGeom>
      </xdr:spPr>
    </xdr:pic>
    <xdr:clientData/>
  </xdr:oneCellAnchor>
  <xdr:twoCellAnchor>
    <xdr:from>
      <xdr:col>0</xdr:col>
      <xdr:colOff>0</xdr:colOff>
      <xdr:row>65</xdr:row>
      <xdr:rowOff>23585</xdr:rowOff>
    </xdr:from>
    <xdr:to>
      <xdr:col>3</xdr:col>
      <xdr:colOff>2665</xdr:colOff>
      <xdr:row>79</xdr:row>
      <xdr:rowOff>109753</xdr:rowOff>
    </xdr:to>
    <xdr:grpSp>
      <xdr:nvGrpSpPr>
        <xdr:cNvPr id="21" name="Group 29">
          <a:extLst>
            <a:ext uri="{FF2B5EF4-FFF2-40B4-BE49-F238E27FC236}">
              <a16:creationId xmlns:a16="http://schemas.microsoft.com/office/drawing/2014/main" id="{E2EF4F4D-7BA9-419F-9566-F91278C6D8EE}"/>
            </a:ext>
          </a:extLst>
        </xdr:cNvPr>
        <xdr:cNvGrpSpPr/>
      </xdr:nvGrpSpPr>
      <xdr:grpSpPr>
        <a:xfrm>
          <a:off x="0" y="16368485"/>
          <a:ext cx="6908290" cy="2753168"/>
          <a:chOff x="1" y="14253935"/>
          <a:chExt cx="3521529" cy="2566307"/>
        </a:xfrm>
      </xdr:grpSpPr>
      <mc:AlternateContent xmlns:mc="http://schemas.openxmlformats.org/markup-compatibility/2006">
        <mc:Choice xmlns:cx1="http://schemas.microsoft.com/office/drawing/2015/9/8/chartex" Requires="cx1">
          <xdr:graphicFrame macro="">
            <xdr:nvGraphicFramePr>
              <xdr:cNvPr id="22" name="Chart 30">
                <a:extLst>
                  <a:ext uri="{FF2B5EF4-FFF2-40B4-BE49-F238E27FC236}">
                    <a16:creationId xmlns:a16="http://schemas.microsoft.com/office/drawing/2014/main" id="{6286C695-6311-DAA5-6F5C-6767E896AE01}"/>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23" name="TextBox 31">
            <a:extLst>
              <a:ext uri="{FF2B5EF4-FFF2-40B4-BE49-F238E27FC236}">
                <a16:creationId xmlns:a16="http://schemas.microsoft.com/office/drawing/2014/main" id="{4E334611-ECA5-3FEB-DD53-FD2474955F53}"/>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Win</a:t>
            </a:r>
            <a:r>
              <a:rPr lang="en-IN" sz="1200" b="1" baseline="0"/>
              <a:t> rate for NPIs</a:t>
            </a:r>
            <a:endParaRPr lang="en-IN" sz="1200" b="1"/>
          </a:p>
        </xdr:txBody>
      </xdr:sp>
    </xdr:grpSp>
    <xdr:clientData/>
  </xdr:twoCellAnchor>
  <xdr:twoCellAnchor>
    <xdr:from>
      <xdr:col>3</xdr:col>
      <xdr:colOff>1607</xdr:colOff>
      <xdr:row>65</xdr:row>
      <xdr:rowOff>781</xdr:rowOff>
    </xdr:from>
    <xdr:to>
      <xdr:col>5</xdr:col>
      <xdr:colOff>894801</xdr:colOff>
      <xdr:row>79</xdr:row>
      <xdr:rowOff>125432</xdr:rowOff>
    </xdr:to>
    <xdr:grpSp>
      <xdr:nvGrpSpPr>
        <xdr:cNvPr id="24" name="Group 32">
          <a:extLst>
            <a:ext uri="{FF2B5EF4-FFF2-40B4-BE49-F238E27FC236}">
              <a16:creationId xmlns:a16="http://schemas.microsoft.com/office/drawing/2014/main" id="{8CB929EC-8805-4894-9DB6-ABA342E43777}"/>
            </a:ext>
          </a:extLst>
        </xdr:cNvPr>
        <xdr:cNvGrpSpPr/>
      </xdr:nvGrpSpPr>
      <xdr:grpSpPr>
        <a:xfrm>
          <a:off x="6907232" y="16345681"/>
          <a:ext cx="4303144" cy="2791651"/>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25" name="Chart 33">
                <a:extLst>
                  <a:ext uri="{FF2B5EF4-FFF2-40B4-BE49-F238E27FC236}">
                    <a16:creationId xmlns:a16="http://schemas.microsoft.com/office/drawing/2014/main" id="{AEF6D1DA-7592-C48A-FC5E-AD142BA788EA}"/>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REF!">
        <xdr:nvSpPr>
          <xdr:cNvPr id="26" name="TextBox 34">
            <a:extLst>
              <a:ext uri="{FF2B5EF4-FFF2-40B4-BE49-F238E27FC236}">
                <a16:creationId xmlns:a16="http://schemas.microsoft.com/office/drawing/2014/main" id="{D78333B4-A572-89B1-BFAA-B7248E62E36F}"/>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Dhruv</a:t>
            </a:r>
            <a:r>
              <a:rPr lang="en-IN" sz="1200" b="1" baseline="0"/>
              <a:t> Commercial Launch</a:t>
            </a:r>
            <a:endParaRPr lang="en-IN" sz="1200" b="1"/>
          </a:p>
        </xdr:txBody>
      </xdr:sp>
    </xdr:grpSp>
    <xdr:clientData/>
  </xdr:twoCellAnchor>
  <xdr:twoCellAnchor>
    <xdr:from>
      <xdr:col>6</xdr:col>
      <xdr:colOff>294642</xdr:colOff>
      <xdr:row>65</xdr:row>
      <xdr:rowOff>164140</xdr:rowOff>
    </xdr:from>
    <xdr:to>
      <xdr:col>9</xdr:col>
      <xdr:colOff>903185</xdr:colOff>
      <xdr:row>80</xdr:row>
      <xdr:rowOff>24229</xdr:rowOff>
    </xdr:to>
    <xdr:grpSp>
      <xdr:nvGrpSpPr>
        <xdr:cNvPr id="27" name="Group 35">
          <a:extLst>
            <a:ext uri="{FF2B5EF4-FFF2-40B4-BE49-F238E27FC236}">
              <a16:creationId xmlns:a16="http://schemas.microsoft.com/office/drawing/2014/main" id="{B0EDB055-A273-4EEC-9A55-20C94C08E6EB}"/>
            </a:ext>
          </a:extLst>
        </xdr:cNvPr>
        <xdr:cNvGrpSpPr/>
      </xdr:nvGrpSpPr>
      <xdr:grpSpPr>
        <a:xfrm>
          <a:off x="11505567" y="16509040"/>
          <a:ext cx="3342218" cy="2717589"/>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28" name="Chart 36">
                <a:extLst>
                  <a:ext uri="{FF2B5EF4-FFF2-40B4-BE49-F238E27FC236}">
                    <a16:creationId xmlns:a16="http://schemas.microsoft.com/office/drawing/2014/main" id="{E443599F-B8F5-3853-A588-8699C808758C}"/>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REF!">
        <xdr:nvSpPr>
          <xdr:cNvPr id="29" name="TextBox 37">
            <a:extLst>
              <a:ext uri="{FF2B5EF4-FFF2-40B4-BE49-F238E27FC236}">
                <a16:creationId xmlns:a16="http://schemas.microsoft.com/office/drawing/2014/main" id="{29A0C07A-046A-5991-096A-8C8EE9A3AC28}"/>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Sales Training </a:t>
            </a:r>
          </a:p>
        </xdr:txBody>
      </xdr:sp>
    </xdr:grpSp>
    <xdr:clientData/>
  </xdr:twoCellAnchor>
  <xdr:twoCellAnchor>
    <xdr:from>
      <xdr:col>10</xdr:col>
      <xdr:colOff>177201</xdr:colOff>
      <xdr:row>65</xdr:row>
      <xdr:rowOff>190258</xdr:rowOff>
    </xdr:from>
    <xdr:to>
      <xdr:col>13</xdr:col>
      <xdr:colOff>228775</xdr:colOff>
      <xdr:row>79</xdr:row>
      <xdr:rowOff>166688</xdr:rowOff>
    </xdr:to>
    <xdr:grpSp>
      <xdr:nvGrpSpPr>
        <xdr:cNvPr id="30" name="Group 44">
          <a:extLst>
            <a:ext uri="{FF2B5EF4-FFF2-40B4-BE49-F238E27FC236}">
              <a16:creationId xmlns:a16="http://schemas.microsoft.com/office/drawing/2014/main" id="{5E055767-7EE9-4932-A553-DE05599488CE}"/>
            </a:ext>
          </a:extLst>
        </xdr:cNvPr>
        <xdr:cNvGrpSpPr/>
      </xdr:nvGrpSpPr>
      <xdr:grpSpPr>
        <a:xfrm>
          <a:off x="15093351" y="16535158"/>
          <a:ext cx="3547249" cy="2643430"/>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31" name="Chart 45">
                <a:extLst>
                  <a:ext uri="{FF2B5EF4-FFF2-40B4-BE49-F238E27FC236}">
                    <a16:creationId xmlns:a16="http://schemas.microsoft.com/office/drawing/2014/main" id="{BD14AD44-CCE9-149D-0D5C-9EBA8B812260}"/>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6">
        <xdr:nvSpPr>
          <xdr:cNvPr id="32" name="TextBox 46">
            <a:extLst>
              <a:ext uri="{FF2B5EF4-FFF2-40B4-BE49-F238E27FC236}">
                <a16:creationId xmlns:a16="http://schemas.microsoft.com/office/drawing/2014/main" id="{4432FED8-979E-7ED2-A03A-8CDE19B1442D}"/>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KPI</a:t>
            </a:r>
            <a:r>
              <a:rPr lang="en-IN" sz="1600" b="1" baseline="0"/>
              <a:t> 4</a:t>
            </a:r>
            <a:endParaRPr lang="en-IN" sz="1600" b="1"/>
          </a:p>
        </xdr:txBody>
      </xdr:sp>
    </xdr:grpSp>
    <xdr:clientData/>
  </xdr:twoCellAnchor>
</xdr:wsDr>
</file>

<file path=xl/drawings/drawing8.xml><?xml version="1.0" encoding="utf-8"?>
<xdr:wsDr xmlns:xdr="http://schemas.openxmlformats.org/drawingml/2006/spreadsheetDrawing" xmlns:a="http://schemas.openxmlformats.org/drawingml/2006/main">
  <xdr:oneCellAnchor>
    <xdr:from>
      <xdr:col>2</xdr:col>
      <xdr:colOff>0</xdr:colOff>
      <xdr:row>43</xdr:row>
      <xdr:rowOff>0</xdr:rowOff>
    </xdr:from>
    <xdr:ext cx="168910" cy="457200"/>
    <xdr:sp macro="" textlink="">
      <xdr:nvSpPr>
        <xdr:cNvPr id="2" name="Text Box 9">
          <a:extLst>
            <a:ext uri="{FF2B5EF4-FFF2-40B4-BE49-F238E27FC236}">
              <a16:creationId xmlns:a16="http://schemas.microsoft.com/office/drawing/2014/main" id="{074CA71B-95C3-4C37-BDD8-2524C038A9E3}"/>
            </a:ext>
          </a:extLst>
        </xdr:cNvPr>
        <xdr:cNvSpPr txBox="1">
          <a:spLocks noChangeArrowheads="1"/>
        </xdr:cNvSpPr>
      </xdr:nvSpPr>
      <xdr:spPr bwMode="auto">
        <a:xfrm>
          <a:off x="3876675" y="7781925"/>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43</xdr:row>
      <xdr:rowOff>0</xdr:rowOff>
    </xdr:from>
    <xdr:ext cx="167005" cy="457200"/>
    <xdr:sp macro="" textlink="">
      <xdr:nvSpPr>
        <xdr:cNvPr id="3" name="Text Box 13">
          <a:extLst>
            <a:ext uri="{FF2B5EF4-FFF2-40B4-BE49-F238E27FC236}">
              <a16:creationId xmlns:a16="http://schemas.microsoft.com/office/drawing/2014/main" id="{E8A51156-D0BD-4753-92BA-E515FE670CA2}"/>
            </a:ext>
          </a:extLst>
        </xdr:cNvPr>
        <xdr:cNvSpPr txBox="1">
          <a:spLocks noChangeArrowheads="1"/>
        </xdr:cNvSpPr>
      </xdr:nvSpPr>
      <xdr:spPr bwMode="auto">
        <a:xfrm>
          <a:off x="13430250" y="7781925"/>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43</xdr:row>
      <xdr:rowOff>0</xdr:rowOff>
    </xdr:from>
    <xdr:ext cx="167005" cy="457200"/>
    <xdr:sp macro="" textlink="">
      <xdr:nvSpPr>
        <xdr:cNvPr id="4" name="Text Box 13">
          <a:extLst>
            <a:ext uri="{FF2B5EF4-FFF2-40B4-BE49-F238E27FC236}">
              <a16:creationId xmlns:a16="http://schemas.microsoft.com/office/drawing/2014/main" id="{2EDE15A6-40B2-40D4-BEA0-1EA6BD9CF30F}"/>
            </a:ext>
          </a:extLst>
        </xdr:cNvPr>
        <xdr:cNvSpPr txBox="1">
          <a:spLocks noChangeArrowheads="1"/>
        </xdr:cNvSpPr>
      </xdr:nvSpPr>
      <xdr:spPr bwMode="auto">
        <a:xfrm>
          <a:off x="13430250" y="7781925"/>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43</xdr:row>
      <xdr:rowOff>0</xdr:rowOff>
    </xdr:from>
    <xdr:ext cx="152400" cy="457200"/>
    <xdr:sp macro="" textlink="">
      <xdr:nvSpPr>
        <xdr:cNvPr id="5" name="Text Box 13">
          <a:extLst>
            <a:ext uri="{FF2B5EF4-FFF2-40B4-BE49-F238E27FC236}">
              <a16:creationId xmlns:a16="http://schemas.microsoft.com/office/drawing/2014/main" id="{F03B161F-9844-4891-9093-534648A7C3BD}"/>
            </a:ext>
          </a:extLst>
        </xdr:cNvPr>
        <xdr:cNvSpPr txBox="1">
          <a:spLocks noChangeArrowheads="1"/>
        </xdr:cNvSpPr>
      </xdr:nvSpPr>
      <xdr:spPr bwMode="auto">
        <a:xfrm>
          <a:off x="13409984" y="7781925"/>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43</xdr:row>
      <xdr:rowOff>0</xdr:rowOff>
    </xdr:from>
    <xdr:ext cx="168910" cy="457200"/>
    <xdr:sp macro="" textlink="">
      <xdr:nvSpPr>
        <xdr:cNvPr id="6" name="Text Box 9">
          <a:extLst>
            <a:ext uri="{FF2B5EF4-FFF2-40B4-BE49-F238E27FC236}">
              <a16:creationId xmlns:a16="http://schemas.microsoft.com/office/drawing/2014/main" id="{0F42DD23-6A5E-486C-B623-B084BD368FA8}"/>
            </a:ext>
          </a:extLst>
        </xdr:cNvPr>
        <xdr:cNvSpPr txBox="1">
          <a:spLocks noChangeArrowheads="1"/>
        </xdr:cNvSpPr>
      </xdr:nvSpPr>
      <xdr:spPr bwMode="auto">
        <a:xfrm>
          <a:off x="3904103" y="7781925"/>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0</xdr:col>
      <xdr:colOff>26835</xdr:colOff>
      <xdr:row>25</xdr:row>
      <xdr:rowOff>29110</xdr:rowOff>
    </xdr:from>
    <xdr:to>
      <xdr:col>2</xdr:col>
      <xdr:colOff>531812</xdr:colOff>
      <xdr:row>39</xdr:row>
      <xdr:rowOff>161925</xdr:rowOff>
    </xdr:to>
    <xdr:grpSp>
      <xdr:nvGrpSpPr>
        <xdr:cNvPr id="7" name="Group 6">
          <a:extLst>
            <a:ext uri="{FF2B5EF4-FFF2-40B4-BE49-F238E27FC236}">
              <a16:creationId xmlns:a16="http://schemas.microsoft.com/office/drawing/2014/main" id="{290841D5-F667-43A1-BCD2-AF3B66C1680A}"/>
            </a:ext>
          </a:extLst>
        </xdr:cNvPr>
        <xdr:cNvGrpSpPr/>
      </xdr:nvGrpSpPr>
      <xdr:grpSpPr>
        <a:xfrm>
          <a:off x="26835" y="4458235"/>
          <a:ext cx="4200677" cy="2666465"/>
          <a:chOff x="77635" y="5406915"/>
          <a:chExt cx="2829628" cy="2158877"/>
        </a:xfrm>
      </xdr:grpSpPr>
      <xdr:graphicFrame macro="">
        <xdr:nvGraphicFramePr>
          <xdr:cNvPr id="8" name="Chart 7">
            <a:extLst>
              <a:ext uri="{FF2B5EF4-FFF2-40B4-BE49-F238E27FC236}">
                <a16:creationId xmlns:a16="http://schemas.microsoft.com/office/drawing/2014/main" id="{E00E5476-C314-0459-8E79-F1741A6758CE}"/>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1"/>
          </a:graphicData>
        </a:graphic>
      </xdr:graphicFrame>
      <xdr:sp macro="" textlink="$A$14">
        <xdr:nvSpPr>
          <xdr:cNvPr id="9" name="TextBox 8">
            <a:extLst>
              <a:ext uri="{FF2B5EF4-FFF2-40B4-BE49-F238E27FC236}">
                <a16:creationId xmlns:a16="http://schemas.microsoft.com/office/drawing/2014/main" id="{A4FA2E35-86AF-D630-9A91-89C8EAC3F515}"/>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Sales tool delivery</a:t>
            </a:fld>
            <a:endParaRPr lang="en-IN" sz="1800" b="1"/>
          </a:p>
        </xdr:txBody>
      </xdr:sp>
    </xdr:grpSp>
    <xdr:clientData/>
  </xdr:twoCellAnchor>
  <xdr:twoCellAnchor>
    <xdr:from>
      <xdr:col>2</xdr:col>
      <xdr:colOff>622044</xdr:colOff>
      <xdr:row>25</xdr:row>
      <xdr:rowOff>16819</xdr:rowOff>
    </xdr:from>
    <xdr:to>
      <xdr:col>5</xdr:col>
      <xdr:colOff>88876</xdr:colOff>
      <xdr:row>39</xdr:row>
      <xdr:rowOff>162869</xdr:rowOff>
    </xdr:to>
    <xdr:grpSp>
      <xdr:nvGrpSpPr>
        <xdr:cNvPr id="10" name="Group 14">
          <a:extLst>
            <a:ext uri="{FF2B5EF4-FFF2-40B4-BE49-F238E27FC236}">
              <a16:creationId xmlns:a16="http://schemas.microsoft.com/office/drawing/2014/main" id="{4CDC1A0A-E686-4A84-8B0A-C79056A5F894}"/>
            </a:ext>
          </a:extLst>
        </xdr:cNvPr>
        <xdr:cNvGrpSpPr/>
      </xdr:nvGrpSpPr>
      <xdr:grpSpPr>
        <a:xfrm>
          <a:off x="4317744" y="4445944"/>
          <a:ext cx="3162532" cy="2679700"/>
          <a:chOff x="2905974" y="5419664"/>
          <a:chExt cx="3092518" cy="2147057"/>
        </a:xfrm>
      </xdr:grpSpPr>
      <xdr:graphicFrame macro="">
        <xdr:nvGraphicFramePr>
          <xdr:cNvPr id="11" name="Chart 15">
            <a:extLst>
              <a:ext uri="{FF2B5EF4-FFF2-40B4-BE49-F238E27FC236}">
                <a16:creationId xmlns:a16="http://schemas.microsoft.com/office/drawing/2014/main" id="{5420835B-7376-D3B7-958B-7FD0433A1D02}"/>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2"/>
          </a:graphicData>
        </a:graphic>
      </xdr:graphicFrame>
      <xdr:sp macro="" textlink="$A$16">
        <xdr:nvSpPr>
          <xdr:cNvPr id="12" name="TextBox 16">
            <a:extLst>
              <a:ext uri="{FF2B5EF4-FFF2-40B4-BE49-F238E27FC236}">
                <a16:creationId xmlns:a16="http://schemas.microsoft.com/office/drawing/2014/main" id="{6D6DE1BD-9256-70DE-9C85-751F46627B03}"/>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Sales support</a:t>
            </a:fld>
            <a:endParaRPr lang="en-IN" sz="1800" b="1"/>
          </a:p>
        </xdr:txBody>
      </xdr:sp>
    </xdr:grpSp>
    <xdr:clientData/>
  </xdr:twoCellAnchor>
  <xdr:twoCellAnchor>
    <xdr:from>
      <xdr:col>5</xdr:col>
      <xdr:colOff>161760</xdr:colOff>
      <xdr:row>25</xdr:row>
      <xdr:rowOff>31554</xdr:rowOff>
    </xdr:from>
    <xdr:to>
      <xdr:col>8</xdr:col>
      <xdr:colOff>998084</xdr:colOff>
      <xdr:row>40</xdr:row>
      <xdr:rowOff>470</xdr:rowOff>
    </xdr:to>
    <xdr:grpSp>
      <xdr:nvGrpSpPr>
        <xdr:cNvPr id="13" name="Group 17">
          <a:extLst>
            <a:ext uri="{FF2B5EF4-FFF2-40B4-BE49-F238E27FC236}">
              <a16:creationId xmlns:a16="http://schemas.microsoft.com/office/drawing/2014/main" id="{F459C28D-7F19-4FC2-88E7-C6C9B45C2E91}"/>
            </a:ext>
          </a:extLst>
        </xdr:cNvPr>
        <xdr:cNvGrpSpPr/>
      </xdr:nvGrpSpPr>
      <xdr:grpSpPr>
        <a:xfrm>
          <a:off x="7553160" y="4460679"/>
          <a:ext cx="3417599" cy="2683541"/>
          <a:chOff x="5810561" y="5397766"/>
          <a:chExt cx="2667443" cy="2269965"/>
        </a:xfrm>
      </xdr:grpSpPr>
      <xdr:graphicFrame macro="">
        <xdr:nvGraphicFramePr>
          <xdr:cNvPr id="14" name="Chart 18">
            <a:extLst>
              <a:ext uri="{FF2B5EF4-FFF2-40B4-BE49-F238E27FC236}">
                <a16:creationId xmlns:a16="http://schemas.microsoft.com/office/drawing/2014/main" id="{C7995952-1981-82A6-4078-6B8A9852A0AC}"/>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3"/>
          </a:graphicData>
        </a:graphic>
      </xdr:graphicFrame>
      <xdr:sp macro="" textlink="$A$18">
        <xdr:nvSpPr>
          <xdr:cNvPr id="15" name="TextBox 19">
            <a:extLst>
              <a:ext uri="{FF2B5EF4-FFF2-40B4-BE49-F238E27FC236}">
                <a16:creationId xmlns:a16="http://schemas.microsoft.com/office/drawing/2014/main" id="{7B7C936A-4629-4D6E-AE28-66F98EC1B76D}"/>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Sales training</a:t>
            </a:fld>
            <a:endParaRPr lang="en-IN" sz="1800" b="1"/>
          </a:p>
        </xdr:txBody>
      </xdr:sp>
    </xdr:grpSp>
    <xdr:clientData/>
  </xdr:twoCellAnchor>
  <xdr:oneCellAnchor>
    <xdr:from>
      <xdr:col>2</xdr:col>
      <xdr:colOff>38100</xdr:colOff>
      <xdr:row>116</xdr:row>
      <xdr:rowOff>10092</xdr:rowOff>
    </xdr:from>
    <xdr:ext cx="165099" cy="139210"/>
    <xdr:pic>
      <xdr:nvPicPr>
        <xdr:cNvPr id="16" name="Picture 15">
          <a:extLst>
            <a:ext uri="{FF2B5EF4-FFF2-40B4-BE49-F238E27FC236}">
              <a16:creationId xmlns:a16="http://schemas.microsoft.com/office/drawing/2014/main" id="{509973E8-D8EC-408A-BCEE-6667B7FBA80E}"/>
            </a:ext>
          </a:extLst>
        </xdr:cNvPr>
        <xdr:cNvPicPr>
          <a:picLocks noChangeAspect="1"/>
        </xdr:cNvPicPr>
      </xdr:nvPicPr>
      <xdr:blipFill>
        <a:blip xmlns:r="http://schemas.openxmlformats.org/officeDocument/2006/relationships" r:embed="rId4"/>
        <a:stretch>
          <a:fillRect/>
        </a:stretch>
      </xdr:blipFill>
      <xdr:spPr>
        <a:xfrm>
          <a:off x="3914775" y="32658617"/>
          <a:ext cx="165099" cy="139210"/>
        </a:xfrm>
        <a:prstGeom prst="rect">
          <a:avLst/>
        </a:prstGeom>
      </xdr:spPr>
    </xdr:pic>
    <xdr:clientData/>
  </xdr:oneCellAnchor>
  <xdr:oneCellAnchor>
    <xdr:from>
      <xdr:col>3</xdr:col>
      <xdr:colOff>13710</xdr:colOff>
      <xdr:row>116</xdr:row>
      <xdr:rowOff>13986</xdr:rowOff>
    </xdr:from>
    <xdr:ext cx="140612" cy="145725"/>
    <xdr:pic>
      <xdr:nvPicPr>
        <xdr:cNvPr id="17" name="Picture 16">
          <a:extLst>
            <a:ext uri="{FF2B5EF4-FFF2-40B4-BE49-F238E27FC236}">
              <a16:creationId xmlns:a16="http://schemas.microsoft.com/office/drawing/2014/main" id="{BA739B33-6542-40EC-AAEB-3C8F84E83E3E}"/>
            </a:ext>
          </a:extLst>
        </xdr:cNvPr>
        <xdr:cNvPicPr>
          <a:picLocks noChangeAspect="1"/>
        </xdr:cNvPicPr>
      </xdr:nvPicPr>
      <xdr:blipFill>
        <a:blip xmlns:r="http://schemas.openxmlformats.org/officeDocument/2006/relationships" r:embed="rId5"/>
        <a:stretch>
          <a:fillRect/>
        </a:stretch>
      </xdr:blipFill>
      <xdr:spPr>
        <a:xfrm>
          <a:off x="7249535" y="32662511"/>
          <a:ext cx="140612" cy="145725"/>
        </a:xfrm>
        <a:prstGeom prst="rect">
          <a:avLst/>
        </a:prstGeom>
      </xdr:spPr>
    </xdr:pic>
    <xdr:clientData/>
  </xdr:oneCellAnchor>
  <xdr:oneCellAnchor>
    <xdr:from>
      <xdr:col>4</xdr:col>
      <xdr:colOff>44450</xdr:colOff>
      <xdr:row>116</xdr:row>
      <xdr:rowOff>19130</xdr:rowOff>
    </xdr:from>
    <xdr:ext cx="171450" cy="172268"/>
    <xdr:pic>
      <xdr:nvPicPr>
        <xdr:cNvPr id="18" name="Picture 17">
          <a:extLst>
            <a:ext uri="{FF2B5EF4-FFF2-40B4-BE49-F238E27FC236}">
              <a16:creationId xmlns:a16="http://schemas.microsoft.com/office/drawing/2014/main" id="{C94B62D6-790E-4262-80DB-2D5098BE2189}"/>
            </a:ext>
          </a:extLst>
        </xdr:cNvPr>
        <xdr:cNvPicPr>
          <a:picLocks noChangeAspect="1"/>
        </xdr:cNvPicPr>
      </xdr:nvPicPr>
      <xdr:blipFill>
        <a:blip xmlns:r="http://schemas.openxmlformats.org/officeDocument/2006/relationships" r:embed="rId6"/>
        <a:stretch>
          <a:fillRect/>
        </a:stretch>
      </xdr:blipFill>
      <xdr:spPr>
        <a:xfrm flipV="1">
          <a:off x="9048750" y="32670830"/>
          <a:ext cx="171450" cy="172268"/>
        </a:xfrm>
        <a:prstGeom prst="rect">
          <a:avLst/>
        </a:prstGeom>
      </xdr:spPr>
    </xdr:pic>
    <xdr:clientData/>
  </xdr:oneCellAnchor>
  <xdr:oneCellAnchor>
    <xdr:from>
      <xdr:col>1</xdr:col>
      <xdr:colOff>20248</xdr:colOff>
      <xdr:row>116</xdr:row>
      <xdr:rowOff>8127</xdr:rowOff>
    </xdr:from>
    <xdr:ext cx="199069" cy="170387"/>
    <xdr:pic>
      <xdr:nvPicPr>
        <xdr:cNvPr id="19" name="Picture 18">
          <a:extLst>
            <a:ext uri="{FF2B5EF4-FFF2-40B4-BE49-F238E27FC236}">
              <a16:creationId xmlns:a16="http://schemas.microsoft.com/office/drawing/2014/main" id="{8E1A8AA9-0E2C-42ED-8932-444EFAA997E2}"/>
            </a:ext>
          </a:extLst>
        </xdr:cNvPr>
        <xdr:cNvPicPr>
          <a:picLocks noChangeAspect="1"/>
        </xdr:cNvPicPr>
      </xdr:nvPicPr>
      <xdr:blipFill>
        <a:blip xmlns:r="http://schemas.openxmlformats.org/officeDocument/2006/relationships" r:embed="rId7"/>
        <a:stretch>
          <a:fillRect/>
        </a:stretch>
      </xdr:blipFill>
      <xdr:spPr>
        <a:xfrm>
          <a:off x="1658548" y="32663002"/>
          <a:ext cx="199069" cy="170387"/>
        </a:xfrm>
        <a:prstGeom prst="rect">
          <a:avLst/>
        </a:prstGeom>
      </xdr:spPr>
    </xdr:pic>
    <xdr:clientData/>
  </xdr:oneCellAnchor>
  <xdr:oneCellAnchor>
    <xdr:from>
      <xdr:col>0</xdr:col>
      <xdr:colOff>0</xdr:colOff>
      <xdr:row>116</xdr:row>
      <xdr:rowOff>7863</xdr:rowOff>
    </xdr:from>
    <xdr:ext cx="208786" cy="182885"/>
    <xdr:pic>
      <xdr:nvPicPr>
        <xdr:cNvPr id="20" name="Picture 19">
          <a:extLst>
            <a:ext uri="{FF2B5EF4-FFF2-40B4-BE49-F238E27FC236}">
              <a16:creationId xmlns:a16="http://schemas.microsoft.com/office/drawing/2014/main" id="{D4231DBC-71FE-4FCD-B630-F2D6598CDBA8}"/>
            </a:ext>
          </a:extLst>
        </xdr:cNvPr>
        <xdr:cNvPicPr>
          <a:picLocks noChangeAspect="1"/>
        </xdr:cNvPicPr>
      </xdr:nvPicPr>
      <xdr:blipFill>
        <a:blip xmlns:r="http://schemas.openxmlformats.org/officeDocument/2006/relationships" r:embed="rId8"/>
        <a:stretch>
          <a:fillRect/>
        </a:stretch>
      </xdr:blipFill>
      <xdr:spPr>
        <a:xfrm>
          <a:off x="0" y="32662738"/>
          <a:ext cx="208786" cy="182885"/>
        </a:xfrm>
        <a:prstGeom prst="rect">
          <a:avLst/>
        </a:prstGeom>
      </xdr:spPr>
    </xdr:pic>
    <xdr:clientData/>
  </xdr:oneCellAnchor>
  <xdr:twoCellAnchor>
    <xdr:from>
      <xdr:col>0</xdr:col>
      <xdr:colOff>0</xdr:colOff>
      <xdr:row>65</xdr:row>
      <xdr:rowOff>26760</xdr:rowOff>
    </xdr:from>
    <xdr:to>
      <xdr:col>3</xdr:col>
      <xdr:colOff>2665</xdr:colOff>
      <xdr:row>79</xdr:row>
      <xdr:rowOff>106578</xdr:rowOff>
    </xdr:to>
    <xdr:grpSp>
      <xdr:nvGrpSpPr>
        <xdr:cNvPr id="90" name="Group 29">
          <a:extLst>
            <a:ext uri="{FF2B5EF4-FFF2-40B4-BE49-F238E27FC236}">
              <a16:creationId xmlns:a16="http://schemas.microsoft.com/office/drawing/2014/main" id="{06D13527-1426-4001-BA71-86CDC2EB41D1}"/>
            </a:ext>
          </a:extLst>
        </xdr:cNvPr>
        <xdr:cNvGrpSpPr/>
      </xdr:nvGrpSpPr>
      <xdr:grpSpPr>
        <a:xfrm>
          <a:off x="0" y="14952435"/>
          <a:ext cx="5508115" cy="2746818"/>
          <a:chOff x="1" y="14253935"/>
          <a:chExt cx="3521529" cy="2566307"/>
        </a:xfrm>
      </xdr:grpSpPr>
      <mc:AlternateContent xmlns:mc="http://schemas.openxmlformats.org/markup-compatibility/2006">
        <mc:Choice xmlns:cx1="http://schemas.microsoft.com/office/drawing/2015/9/8/chartex" Requires="cx1">
          <xdr:graphicFrame macro="">
            <xdr:nvGraphicFramePr>
              <xdr:cNvPr id="91" name="Chart 30">
                <a:extLst>
                  <a:ext uri="{FF2B5EF4-FFF2-40B4-BE49-F238E27FC236}">
                    <a16:creationId xmlns:a16="http://schemas.microsoft.com/office/drawing/2014/main" id="{4D2E2FF0-8789-9239-8D94-76165093C960}"/>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92" name="TextBox 31">
            <a:extLst>
              <a:ext uri="{FF2B5EF4-FFF2-40B4-BE49-F238E27FC236}">
                <a16:creationId xmlns:a16="http://schemas.microsoft.com/office/drawing/2014/main" id="{7B07E4B0-E49E-80CD-DB84-621DE35740D8}"/>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Win</a:t>
            </a:r>
            <a:r>
              <a:rPr lang="en-IN" sz="1200" b="1" baseline="0"/>
              <a:t> rate for NPIs</a:t>
            </a:r>
            <a:endParaRPr lang="en-IN" sz="1200" b="1"/>
          </a:p>
        </xdr:txBody>
      </xdr:sp>
    </xdr:grpSp>
    <xdr:clientData/>
  </xdr:twoCellAnchor>
  <xdr:twoCellAnchor>
    <xdr:from>
      <xdr:col>3</xdr:col>
      <xdr:colOff>1607</xdr:colOff>
      <xdr:row>65</xdr:row>
      <xdr:rowOff>781</xdr:rowOff>
    </xdr:from>
    <xdr:to>
      <xdr:col>5</xdr:col>
      <xdr:colOff>894801</xdr:colOff>
      <xdr:row>79</xdr:row>
      <xdr:rowOff>122257</xdr:rowOff>
    </xdr:to>
    <xdr:grpSp>
      <xdr:nvGrpSpPr>
        <xdr:cNvPr id="84" name="Group 32">
          <a:extLst>
            <a:ext uri="{FF2B5EF4-FFF2-40B4-BE49-F238E27FC236}">
              <a16:creationId xmlns:a16="http://schemas.microsoft.com/office/drawing/2014/main" id="{560556CA-E981-45BC-A4C5-B7D3E6702F7B}"/>
            </a:ext>
          </a:extLst>
        </xdr:cNvPr>
        <xdr:cNvGrpSpPr/>
      </xdr:nvGrpSpPr>
      <xdr:grpSpPr>
        <a:xfrm>
          <a:off x="5507057" y="14926456"/>
          <a:ext cx="2779144" cy="278847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85" name="Chart 33">
                <a:extLst>
                  <a:ext uri="{FF2B5EF4-FFF2-40B4-BE49-F238E27FC236}">
                    <a16:creationId xmlns:a16="http://schemas.microsoft.com/office/drawing/2014/main" id="{A5666B30-C183-A637-3E67-309DAEBF14BA}"/>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REF!">
        <xdr:nvSpPr>
          <xdr:cNvPr id="86" name="TextBox 34">
            <a:extLst>
              <a:ext uri="{FF2B5EF4-FFF2-40B4-BE49-F238E27FC236}">
                <a16:creationId xmlns:a16="http://schemas.microsoft.com/office/drawing/2014/main" id="{FC7C47C1-C384-4822-66FB-4F21E9ED7320}"/>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Dhruv</a:t>
            </a:r>
            <a:r>
              <a:rPr lang="en-IN" sz="1200" b="1" baseline="0"/>
              <a:t> Commercial Launch</a:t>
            </a:r>
            <a:endParaRPr lang="en-IN" sz="1200" b="1"/>
          </a:p>
        </xdr:txBody>
      </xdr:sp>
    </xdr:grpSp>
    <xdr:clientData/>
  </xdr:twoCellAnchor>
  <xdr:twoCellAnchor>
    <xdr:from>
      <xdr:col>6</xdr:col>
      <xdr:colOff>297817</xdr:colOff>
      <xdr:row>65</xdr:row>
      <xdr:rowOff>160965</xdr:rowOff>
    </xdr:from>
    <xdr:to>
      <xdr:col>9</xdr:col>
      <xdr:colOff>906360</xdr:colOff>
      <xdr:row>80</xdr:row>
      <xdr:rowOff>27404</xdr:rowOff>
    </xdr:to>
    <xdr:grpSp>
      <xdr:nvGrpSpPr>
        <xdr:cNvPr id="87" name="Group 35">
          <a:extLst>
            <a:ext uri="{FF2B5EF4-FFF2-40B4-BE49-F238E27FC236}">
              <a16:creationId xmlns:a16="http://schemas.microsoft.com/office/drawing/2014/main" id="{A3C83BA4-D0C5-48BC-A86A-2D273C3D02F2}"/>
            </a:ext>
          </a:extLst>
        </xdr:cNvPr>
        <xdr:cNvGrpSpPr/>
      </xdr:nvGrpSpPr>
      <xdr:grpSpPr>
        <a:xfrm>
          <a:off x="8584567" y="15086640"/>
          <a:ext cx="3361268" cy="2723939"/>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88" name="Chart 36">
                <a:extLst>
                  <a:ext uri="{FF2B5EF4-FFF2-40B4-BE49-F238E27FC236}">
                    <a16:creationId xmlns:a16="http://schemas.microsoft.com/office/drawing/2014/main" id="{2DA3BB8D-7DA7-DAEE-97E1-753E60667657}"/>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REF!">
        <xdr:nvSpPr>
          <xdr:cNvPr id="89" name="TextBox 37">
            <a:extLst>
              <a:ext uri="{FF2B5EF4-FFF2-40B4-BE49-F238E27FC236}">
                <a16:creationId xmlns:a16="http://schemas.microsoft.com/office/drawing/2014/main" id="{F019339D-364C-CFAD-D459-8FAEF32ED126}"/>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Sales Training </a:t>
            </a:r>
          </a:p>
        </xdr:txBody>
      </xdr:sp>
    </xdr:grpSp>
    <xdr:clientData/>
  </xdr:twoCellAnchor>
  <xdr:twoCellAnchor>
    <xdr:from>
      <xdr:col>10</xdr:col>
      <xdr:colOff>180376</xdr:colOff>
      <xdr:row>65</xdr:row>
      <xdr:rowOff>190258</xdr:rowOff>
    </xdr:from>
    <xdr:to>
      <xdr:col>13</xdr:col>
      <xdr:colOff>228775</xdr:colOff>
      <xdr:row>79</xdr:row>
      <xdr:rowOff>163513</xdr:rowOff>
    </xdr:to>
    <xdr:grpSp>
      <xdr:nvGrpSpPr>
        <xdr:cNvPr id="81" name="Group 44">
          <a:extLst>
            <a:ext uri="{FF2B5EF4-FFF2-40B4-BE49-F238E27FC236}">
              <a16:creationId xmlns:a16="http://schemas.microsoft.com/office/drawing/2014/main" id="{B24E8B73-90AC-4F0A-86AC-B7201CE6FEFE}"/>
            </a:ext>
          </a:extLst>
        </xdr:cNvPr>
        <xdr:cNvGrpSpPr/>
      </xdr:nvGrpSpPr>
      <xdr:grpSpPr>
        <a:xfrm>
          <a:off x="12210451" y="15115933"/>
          <a:ext cx="3563124" cy="2640255"/>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82" name="Chart 45">
                <a:extLst>
                  <a:ext uri="{FF2B5EF4-FFF2-40B4-BE49-F238E27FC236}">
                    <a16:creationId xmlns:a16="http://schemas.microsoft.com/office/drawing/2014/main" id="{375CF220-D02B-80B5-902B-F962D48804C1}"/>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6">
        <xdr:nvSpPr>
          <xdr:cNvPr id="83" name="TextBox 46">
            <a:extLst>
              <a:ext uri="{FF2B5EF4-FFF2-40B4-BE49-F238E27FC236}">
                <a16:creationId xmlns:a16="http://schemas.microsoft.com/office/drawing/2014/main" id="{3EC63EF1-1C3E-57D1-2F3B-C35F720A9632}"/>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KPI</a:t>
            </a:r>
            <a:r>
              <a:rPr lang="en-IN" sz="1600" b="1" baseline="0"/>
              <a:t> 4</a:t>
            </a:r>
            <a:endParaRPr lang="en-IN" sz="1600" b="1"/>
          </a:p>
        </xdr:txBody>
      </xdr:sp>
    </xdr:grpSp>
    <xdr:clientData/>
  </xdr:twoCellAnchor>
</xdr:wsDr>
</file>

<file path=xl/drawings/drawing9.xml><?xml version="1.0" encoding="utf-8"?>
<xdr:wsDr xmlns:xdr="http://schemas.openxmlformats.org/drawingml/2006/spreadsheetDrawing" xmlns:a="http://schemas.openxmlformats.org/drawingml/2006/main">
  <xdr:oneCellAnchor>
    <xdr:from>
      <xdr:col>2</xdr:col>
      <xdr:colOff>0</xdr:colOff>
      <xdr:row>135</xdr:row>
      <xdr:rowOff>0</xdr:rowOff>
    </xdr:from>
    <xdr:ext cx="168910" cy="457200"/>
    <xdr:sp macro="" textlink="">
      <xdr:nvSpPr>
        <xdr:cNvPr id="2" name="Text Box 9">
          <a:extLst>
            <a:ext uri="{FF2B5EF4-FFF2-40B4-BE49-F238E27FC236}">
              <a16:creationId xmlns:a16="http://schemas.microsoft.com/office/drawing/2014/main" id="{7040A0D7-9700-4954-A240-1F951C27EDB1}"/>
            </a:ext>
          </a:extLst>
        </xdr:cNvPr>
        <xdr:cNvSpPr txBox="1">
          <a:spLocks noChangeArrowheads="1"/>
        </xdr:cNvSpPr>
      </xdr:nvSpPr>
      <xdr:spPr bwMode="auto">
        <a:xfrm>
          <a:off x="302260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114</xdr:row>
      <xdr:rowOff>0</xdr:rowOff>
    </xdr:from>
    <xdr:ext cx="167005" cy="457200"/>
    <xdr:sp macro="" textlink="">
      <xdr:nvSpPr>
        <xdr:cNvPr id="3" name="Text Box 13">
          <a:extLst>
            <a:ext uri="{FF2B5EF4-FFF2-40B4-BE49-F238E27FC236}">
              <a16:creationId xmlns:a16="http://schemas.microsoft.com/office/drawing/2014/main" id="{3AA6741D-D3F7-4909-8315-825829D96025}"/>
            </a:ext>
          </a:extLst>
        </xdr:cNvPr>
        <xdr:cNvSpPr txBox="1">
          <a:spLocks noChangeArrowheads="1"/>
        </xdr:cNvSpPr>
      </xdr:nvSpPr>
      <xdr:spPr bwMode="auto">
        <a:xfrm>
          <a:off x="111569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114</xdr:row>
      <xdr:rowOff>0</xdr:rowOff>
    </xdr:from>
    <xdr:ext cx="167005" cy="457200"/>
    <xdr:sp macro="" textlink="">
      <xdr:nvSpPr>
        <xdr:cNvPr id="4" name="Text Box 13">
          <a:extLst>
            <a:ext uri="{FF2B5EF4-FFF2-40B4-BE49-F238E27FC236}">
              <a16:creationId xmlns:a16="http://schemas.microsoft.com/office/drawing/2014/main" id="{621411EB-CD79-4744-A942-DFF5C520561A}"/>
            </a:ext>
          </a:extLst>
        </xdr:cNvPr>
        <xdr:cNvSpPr txBox="1">
          <a:spLocks noChangeArrowheads="1"/>
        </xdr:cNvSpPr>
      </xdr:nvSpPr>
      <xdr:spPr bwMode="auto">
        <a:xfrm>
          <a:off x="111569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114</xdr:row>
      <xdr:rowOff>0</xdr:rowOff>
    </xdr:from>
    <xdr:ext cx="152400" cy="457200"/>
    <xdr:sp macro="" textlink="">
      <xdr:nvSpPr>
        <xdr:cNvPr id="5" name="Text Box 13">
          <a:extLst>
            <a:ext uri="{FF2B5EF4-FFF2-40B4-BE49-F238E27FC236}">
              <a16:creationId xmlns:a16="http://schemas.microsoft.com/office/drawing/2014/main" id="{68EF3E26-008E-493F-81B8-B646A52A942F}"/>
            </a:ext>
          </a:extLst>
        </xdr:cNvPr>
        <xdr:cNvSpPr txBox="1">
          <a:spLocks noChangeArrowheads="1"/>
        </xdr:cNvSpPr>
      </xdr:nvSpPr>
      <xdr:spPr bwMode="auto">
        <a:xfrm>
          <a:off x="1113668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135</xdr:row>
      <xdr:rowOff>0</xdr:rowOff>
    </xdr:from>
    <xdr:ext cx="168910" cy="457200"/>
    <xdr:sp macro="" textlink="">
      <xdr:nvSpPr>
        <xdr:cNvPr id="6" name="Text Box 9">
          <a:extLst>
            <a:ext uri="{FF2B5EF4-FFF2-40B4-BE49-F238E27FC236}">
              <a16:creationId xmlns:a16="http://schemas.microsoft.com/office/drawing/2014/main" id="{5BE32E72-BA89-4394-9766-6B36010BF896}"/>
            </a:ext>
          </a:extLst>
        </xdr:cNvPr>
        <xdr:cNvSpPr txBox="1">
          <a:spLocks noChangeArrowheads="1"/>
        </xdr:cNvSpPr>
      </xdr:nvSpPr>
      <xdr:spPr bwMode="auto">
        <a:xfrm>
          <a:off x="305320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132</xdr:row>
      <xdr:rowOff>10092</xdr:rowOff>
    </xdr:from>
    <xdr:to>
      <xdr:col>2</xdr:col>
      <xdr:colOff>210819</xdr:colOff>
      <xdr:row>132</xdr:row>
      <xdr:rowOff>149302</xdr:rowOff>
    </xdr:to>
    <xdr:pic>
      <xdr:nvPicPr>
        <xdr:cNvPr id="7" name="Picture 6">
          <a:extLst>
            <a:ext uri="{FF2B5EF4-FFF2-40B4-BE49-F238E27FC236}">
              <a16:creationId xmlns:a16="http://schemas.microsoft.com/office/drawing/2014/main" id="{A3806DEE-B9C1-4862-9DBE-6FF9DAC077F2}"/>
            </a:ext>
          </a:extLst>
        </xdr:cNvPr>
        <xdr:cNvPicPr>
          <a:picLocks noChangeAspect="1"/>
        </xdr:cNvPicPr>
      </xdr:nvPicPr>
      <xdr:blipFill>
        <a:blip xmlns:r="http://schemas.openxmlformats.org/officeDocument/2006/relationships" r:embed="rId1"/>
        <a:stretch>
          <a:fillRect/>
        </a:stretch>
      </xdr:blipFill>
      <xdr:spPr>
        <a:xfrm>
          <a:off x="3060700" y="20266592"/>
          <a:ext cx="165099" cy="139210"/>
        </a:xfrm>
        <a:prstGeom prst="rect">
          <a:avLst/>
        </a:prstGeom>
      </xdr:spPr>
    </xdr:pic>
    <xdr:clientData/>
  </xdr:twoCellAnchor>
  <xdr:twoCellAnchor editAs="oneCell">
    <xdr:from>
      <xdr:col>3</xdr:col>
      <xdr:colOff>13710</xdr:colOff>
      <xdr:row>132</xdr:row>
      <xdr:rowOff>13986</xdr:rowOff>
    </xdr:from>
    <xdr:to>
      <xdr:col>3</xdr:col>
      <xdr:colOff>154322</xdr:colOff>
      <xdr:row>132</xdr:row>
      <xdr:rowOff>169236</xdr:rowOff>
    </xdr:to>
    <xdr:pic>
      <xdr:nvPicPr>
        <xdr:cNvPr id="8" name="Picture 7">
          <a:extLst>
            <a:ext uri="{FF2B5EF4-FFF2-40B4-BE49-F238E27FC236}">
              <a16:creationId xmlns:a16="http://schemas.microsoft.com/office/drawing/2014/main" id="{618FBB86-BCA5-4996-9F5E-E6A610547641}"/>
            </a:ext>
          </a:extLst>
        </xdr:cNvPr>
        <xdr:cNvPicPr>
          <a:picLocks noChangeAspect="1"/>
        </xdr:cNvPicPr>
      </xdr:nvPicPr>
      <xdr:blipFill>
        <a:blip xmlns:r="http://schemas.openxmlformats.org/officeDocument/2006/relationships" r:embed="rId2"/>
        <a:stretch>
          <a:fillRect/>
        </a:stretch>
      </xdr:blipFill>
      <xdr:spPr>
        <a:xfrm>
          <a:off x="4452360" y="20270486"/>
          <a:ext cx="140612" cy="145725"/>
        </a:xfrm>
        <a:prstGeom prst="rect">
          <a:avLst/>
        </a:prstGeom>
      </xdr:spPr>
    </xdr:pic>
    <xdr:clientData/>
  </xdr:twoCellAnchor>
  <xdr:twoCellAnchor editAs="oneCell">
    <xdr:from>
      <xdr:col>4</xdr:col>
      <xdr:colOff>44450</xdr:colOff>
      <xdr:row>132</xdr:row>
      <xdr:rowOff>19130</xdr:rowOff>
    </xdr:from>
    <xdr:to>
      <xdr:col>4</xdr:col>
      <xdr:colOff>208280</xdr:colOff>
      <xdr:row>133</xdr:row>
      <xdr:rowOff>898</xdr:rowOff>
    </xdr:to>
    <xdr:pic>
      <xdr:nvPicPr>
        <xdr:cNvPr id="9" name="Picture 8">
          <a:extLst>
            <a:ext uri="{FF2B5EF4-FFF2-40B4-BE49-F238E27FC236}">
              <a16:creationId xmlns:a16="http://schemas.microsoft.com/office/drawing/2014/main" id="{E6FF252D-763B-460E-AFF7-0B9656FDE406}"/>
            </a:ext>
          </a:extLst>
        </xdr:cNvPr>
        <xdr:cNvPicPr>
          <a:picLocks noChangeAspect="1"/>
        </xdr:cNvPicPr>
      </xdr:nvPicPr>
      <xdr:blipFill>
        <a:blip xmlns:r="http://schemas.openxmlformats.org/officeDocument/2006/relationships" r:embed="rId3"/>
        <a:stretch>
          <a:fillRect/>
        </a:stretch>
      </xdr:blipFill>
      <xdr:spPr>
        <a:xfrm flipV="1">
          <a:off x="5861050" y="20275630"/>
          <a:ext cx="171450" cy="165918"/>
        </a:xfrm>
        <a:prstGeom prst="rect">
          <a:avLst/>
        </a:prstGeom>
      </xdr:spPr>
    </xdr:pic>
    <xdr:clientData/>
  </xdr:twoCellAnchor>
  <xdr:oneCellAnchor>
    <xdr:from>
      <xdr:col>1</xdr:col>
      <xdr:colOff>20248</xdr:colOff>
      <xdr:row>132</xdr:row>
      <xdr:rowOff>8127</xdr:rowOff>
    </xdr:from>
    <xdr:ext cx="199069" cy="170387"/>
    <xdr:pic>
      <xdr:nvPicPr>
        <xdr:cNvPr id="10" name="Picture 9">
          <a:extLst>
            <a:ext uri="{FF2B5EF4-FFF2-40B4-BE49-F238E27FC236}">
              <a16:creationId xmlns:a16="http://schemas.microsoft.com/office/drawing/2014/main" id="{E76B2296-7666-4DBB-AACF-A9F037E631EC}"/>
            </a:ext>
          </a:extLst>
        </xdr:cNvPr>
        <xdr:cNvPicPr>
          <a:picLocks noChangeAspect="1"/>
        </xdr:cNvPicPr>
      </xdr:nvPicPr>
      <xdr:blipFill>
        <a:blip xmlns:r="http://schemas.openxmlformats.org/officeDocument/2006/relationships" r:embed="rId4"/>
        <a:stretch>
          <a:fillRect/>
        </a:stretch>
      </xdr:blipFill>
      <xdr:spPr>
        <a:xfrm>
          <a:off x="1487098" y="20264627"/>
          <a:ext cx="199069" cy="170387"/>
        </a:xfrm>
        <a:prstGeom prst="rect">
          <a:avLst/>
        </a:prstGeom>
      </xdr:spPr>
    </xdr:pic>
    <xdr:clientData/>
  </xdr:oneCellAnchor>
  <xdr:twoCellAnchor editAs="oneCell">
    <xdr:from>
      <xdr:col>0</xdr:col>
      <xdr:colOff>0</xdr:colOff>
      <xdr:row>132</xdr:row>
      <xdr:rowOff>7863</xdr:rowOff>
    </xdr:from>
    <xdr:to>
      <xdr:col>0</xdr:col>
      <xdr:colOff>208786</xdr:colOff>
      <xdr:row>133</xdr:row>
      <xdr:rowOff>248</xdr:rowOff>
    </xdr:to>
    <xdr:pic>
      <xdr:nvPicPr>
        <xdr:cNvPr id="11" name="Picture 10">
          <a:extLst>
            <a:ext uri="{FF2B5EF4-FFF2-40B4-BE49-F238E27FC236}">
              <a16:creationId xmlns:a16="http://schemas.microsoft.com/office/drawing/2014/main" id="{49440403-82BA-492C-B607-EFE397886D08}"/>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0</xdr:col>
      <xdr:colOff>30010</xdr:colOff>
      <xdr:row>29</xdr:row>
      <xdr:rowOff>25935</xdr:rowOff>
    </xdr:from>
    <xdr:to>
      <xdr:col>1</xdr:col>
      <xdr:colOff>1411111</xdr:colOff>
      <xdr:row>43</xdr:row>
      <xdr:rowOff>15679</xdr:rowOff>
    </xdr:to>
    <xdr:grpSp>
      <xdr:nvGrpSpPr>
        <xdr:cNvPr id="12" name="Group 11">
          <a:extLst>
            <a:ext uri="{FF2B5EF4-FFF2-40B4-BE49-F238E27FC236}">
              <a16:creationId xmlns:a16="http://schemas.microsoft.com/office/drawing/2014/main" id="{78732A19-E0CA-4A18-A12C-E32DBAF5453F}"/>
            </a:ext>
          </a:extLst>
        </xdr:cNvPr>
        <xdr:cNvGrpSpPr/>
      </xdr:nvGrpSpPr>
      <xdr:grpSpPr>
        <a:xfrm>
          <a:off x="30010" y="5960010"/>
          <a:ext cx="2781276" cy="2523394"/>
          <a:chOff x="77635" y="5406915"/>
          <a:chExt cx="2829628" cy="2158877"/>
        </a:xfrm>
      </xdr:grpSpPr>
      <xdr:graphicFrame macro="">
        <xdr:nvGraphicFramePr>
          <xdr:cNvPr id="13" name="Chart 12">
            <a:extLst>
              <a:ext uri="{FF2B5EF4-FFF2-40B4-BE49-F238E27FC236}">
                <a16:creationId xmlns:a16="http://schemas.microsoft.com/office/drawing/2014/main" id="{9CE7C794-02D6-71A5-2C69-A04DA41AC012}"/>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14" name="TextBox 13">
            <a:extLst>
              <a:ext uri="{FF2B5EF4-FFF2-40B4-BE49-F238E27FC236}">
                <a16:creationId xmlns:a16="http://schemas.microsoft.com/office/drawing/2014/main" id="{4BD25E53-C22C-D6A3-229A-F3D32F07A8A7}"/>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CP %</a:t>
            </a:fld>
            <a:endParaRPr lang="en-IN" sz="1800" b="1"/>
          </a:p>
        </xdr:txBody>
      </xdr:sp>
    </xdr:grpSp>
    <xdr:clientData/>
  </xdr:twoCellAnchor>
  <xdr:twoCellAnchor>
    <xdr:from>
      <xdr:col>1</xdr:col>
      <xdr:colOff>1522150</xdr:colOff>
      <xdr:row>29</xdr:row>
      <xdr:rowOff>34808</xdr:rowOff>
    </xdr:from>
    <xdr:to>
      <xdr:col>4</xdr:col>
      <xdr:colOff>705556</xdr:colOff>
      <xdr:row>43</xdr:row>
      <xdr:rowOff>7056</xdr:rowOff>
    </xdr:to>
    <xdr:grpSp>
      <xdr:nvGrpSpPr>
        <xdr:cNvPr id="93" name="Group 14">
          <a:extLst>
            <a:ext uri="{FF2B5EF4-FFF2-40B4-BE49-F238E27FC236}">
              <a16:creationId xmlns:a16="http://schemas.microsoft.com/office/drawing/2014/main" id="{0478A630-EE33-42D3-8FD3-BBA69E93C43C}"/>
            </a:ext>
          </a:extLst>
        </xdr:cNvPr>
        <xdr:cNvGrpSpPr/>
      </xdr:nvGrpSpPr>
      <xdr:grpSpPr>
        <a:xfrm>
          <a:off x="2922325" y="5968883"/>
          <a:ext cx="3917331" cy="2505898"/>
          <a:chOff x="2905974" y="5419664"/>
          <a:chExt cx="3092518" cy="2147057"/>
        </a:xfrm>
      </xdr:grpSpPr>
      <xdr:graphicFrame macro="">
        <xdr:nvGraphicFramePr>
          <xdr:cNvPr id="94" name="Chart 15">
            <a:extLst>
              <a:ext uri="{FF2B5EF4-FFF2-40B4-BE49-F238E27FC236}">
                <a16:creationId xmlns:a16="http://schemas.microsoft.com/office/drawing/2014/main" id="{B10D52EE-9C2D-CDD2-1B89-6093C38A887E}"/>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95" name="TextBox 16">
            <a:extLst>
              <a:ext uri="{FF2B5EF4-FFF2-40B4-BE49-F238E27FC236}">
                <a16:creationId xmlns:a16="http://schemas.microsoft.com/office/drawing/2014/main" id="{40A524D4-225C-28C2-5105-8CA4870CD74D}"/>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POS Contract %</a:t>
            </a:fld>
            <a:endParaRPr lang="en-IN" sz="1800" b="1"/>
          </a:p>
        </xdr:txBody>
      </xdr:sp>
    </xdr:grpSp>
    <xdr:clientData/>
  </xdr:twoCellAnchor>
  <xdr:twoCellAnchor>
    <xdr:from>
      <xdr:col>4</xdr:col>
      <xdr:colOff>841159</xdr:colOff>
      <xdr:row>29</xdr:row>
      <xdr:rowOff>26811</xdr:rowOff>
    </xdr:from>
    <xdr:to>
      <xdr:col>7</xdr:col>
      <xdr:colOff>283006</xdr:colOff>
      <xdr:row>42</xdr:row>
      <xdr:rowOff>176389</xdr:rowOff>
    </xdr:to>
    <xdr:grpSp>
      <xdr:nvGrpSpPr>
        <xdr:cNvPr id="102" name="Group 17">
          <a:extLst>
            <a:ext uri="{FF2B5EF4-FFF2-40B4-BE49-F238E27FC236}">
              <a16:creationId xmlns:a16="http://schemas.microsoft.com/office/drawing/2014/main" id="{525139EE-91C8-4B7E-BF81-936D49267291}"/>
            </a:ext>
          </a:extLst>
        </xdr:cNvPr>
        <xdr:cNvGrpSpPr/>
      </xdr:nvGrpSpPr>
      <xdr:grpSpPr>
        <a:xfrm>
          <a:off x="6975259" y="5960886"/>
          <a:ext cx="2985147" cy="2502253"/>
          <a:chOff x="5810561" y="5397766"/>
          <a:chExt cx="2667443" cy="2269965"/>
        </a:xfrm>
      </xdr:grpSpPr>
      <xdr:graphicFrame macro="">
        <xdr:nvGraphicFramePr>
          <xdr:cNvPr id="103" name="Chart 18">
            <a:extLst>
              <a:ext uri="{FF2B5EF4-FFF2-40B4-BE49-F238E27FC236}">
                <a16:creationId xmlns:a16="http://schemas.microsoft.com/office/drawing/2014/main" id="{8CDEFF5A-E6DF-23B0-B05D-5D3013E13C05}"/>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104" name="TextBox 19">
            <a:extLst>
              <a:ext uri="{FF2B5EF4-FFF2-40B4-BE49-F238E27FC236}">
                <a16:creationId xmlns:a16="http://schemas.microsoft.com/office/drawing/2014/main" id="{326AF467-9814-CF88-C0F5-7A80D9BE622A}"/>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Contract price Improvement (M €)</a:t>
            </a:fld>
            <a:endParaRPr lang="en-IN" sz="1800" b="1"/>
          </a:p>
        </xdr:txBody>
      </xdr:sp>
    </xdr:grpSp>
    <xdr:clientData/>
  </xdr:twoCellAnchor>
  <xdr:twoCellAnchor>
    <xdr:from>
      <xdr:col>7</xdr:col>
      <xdr:colOff>388350</xdr:colOff>
      <xdr:row>29</xdr:row>
      <xdr:rowOff>38413</xdr:rowOff>
    </xdr:from>
    <xdr:to>
      <xdr:col>10</xdr:col>
      <xdr:colOff>344154</xdr:colOff>
      <xdr:row>42</xdr:row>
      <xdr:rowOff>169333</xdr:rowOff>
    </xdr:to>
    <xdr:grpSp>
      <xdr:nvGrpSpPr>
        <xdr:cNvPr id="108" name="Group 20">
          <a:extLst>
            <a:ext uri="{FF2B5EF4-FFF2-40B4-BE49-F238E27FC236}">
              <a16:creationId xmlns:a16="http://schemas.microsoft.com/office/drawing/2014/main" id="{553B58BC-0067-4B5A-9258-47D372ABAEA4}"/>
            </a:ext>
          </a:extLst>
        </xdr:cNvPr>
        <xdr:cNvGrpSpPr/>
      </xdr:nvGrpSpPr>
      <xdr:grpSpPr>
        <a:xfrm>
          <a:off x="10065750" y="5972488"/>
          <a:ext cx="2822829" cy="2483595"/>
          <a:chOff x="8567036" y="5412365"/>
          <a:chExt cx="2683519" cy="2171271"/>
        </a:xfrm>
      </xdr:grpSpPr>
      <xdr:graphicFrame macro="">
        <xdr:nvGraphicFramePr>
          <xdr:cNvPr id="109" name="Chart 21">
            <a:extLst>
              <a:ext uri="{FF2B5EF4-FFF2-40B4-BE49-F238E27FC236}">
                <a16:creationId xmlns:a16="http://schemas.microsoft.com/office/drawing/2014/main" id="{33DA3959-A901-69EC-8381-8DF243CB5D66}"/>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110" name="TextBox 22">
            <a:extLst>
              <a:ext uri="{FF2B5EF4-FFF2-40B4-BE49-F238E27FC236}">
                <a16:creationId xmlns:a16="http://schemas.microsoft.com/office/drawing/2014/main" id="{556B929F-57CF-02B2-7906-9D952E22F21A}"/>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0CBC7D-B506-4CF5-A661-B4090860F931}" type="TxLink">
              <a:rPr lang="en-US" sz="1200" b="1" i="0" u="none" strike="noStrike">
                <a:solidFill>
                  <a:srgbClr val="000000"/>
                </a:solidFill>
                <a:latin typeface="Calibri"/>
                <a:ea typeface="Calibri"/>
                <a:cs typeface="Calibri"/>
              </a:rPr>
              <a:pPr algn="ctr"/>
              <a:t>Service Productivity</a:t>
            </a:fld>
            <a:endParaRPr lang="en-IN" sz="1800" b="1"/>
          </a:p>
        </xdr:txBody>
      </xdr:sp>
    </xdr:grpSp>
    <xdr:clientData/>
  </xdr:twoCellAnchor>
  <xdr:twoCellAnchor>
    <xdr:from>
      <xdr:col>10</xdr:col>
      <xdr:colOff>414720</xdr:colOff>
      <xdr:row>29</xdr:row>
      <xdr:rowOff>29163</xdr:rowOff>
    </xdr:from>
    <xdr:to>
      <xdr:col>13</xdr:col>
      <xdr:colOff>402166</xdr:colOff>
      <xdr:row>42</xdr:row>
      <xdr:rowOff>176389</xdr:rowOff>
    </xdr:to>
    <xdr:grpSp>
      <xdr:nvGrpSpPr>
        <xdr:cNvPr id="117" name="Group 23">
          <a:extLst>
            <a:ext uri="{FF2B5EF4-FFF2-40B4-BE49-F238E27FC236}">
              <a16:creationId xmlns:a16="http://schemas.microsoft.com/office/drawing/2014/main" id="{2926C215-B4E3-47D2-B5F5-8EC519572395}"/>
            </a:ext>
          </a:extLst>
        </xdr:cNvPr>
        <xdr:cNvGrpSpPr/>
      </xdr:nvGrpSpPr>
      <xdr:grpSpPr>
        <a:xfrm>
          <a:off x="12959145" y="5963238"/>
          <a:ext cx="2902096" cy="2499901"/>
          <a:chOff x="11292890" y="5778019"/>
          <a:chExt cx="2950193" cy="2149373"/>
        </a:xfrm>
      </xdr:grpSpPr>
      <xdr:graphicFrame macro="">
        <xdr:nvGraphicFramePr>
          <xdr:cNvPr id="118" name="Chart 24">
            <a:extLst>
              <a:ext uri="{FF2B5EF4-FFF2-40B4-BE49-F238E27FC236}">
                <a16:creationId xmlns:a16="http://schemas.microsoft.com/office/drawing/2014/main" id="{EF37AB0D-28ED-01E1-FBA6-8C6DB1A698E0}"/>
              </a:ext>
            </a:extLst>
          </xdr:cNvPr>
          <xdr:cNvGraphicFramePr/>
        </xdr:nvGraphicFramePr>
        <xdr:xfrm>
          <a:off x="11292890" y="5778019"/>
          <a:ext cx="2950193" cy="2149373"/>
        </xdr:xfrm>
        <a:graphic>
          <a:graphicData uri="http://schemas.openxmlformats.org/drawingml/2006/chart">
            <c:chart xmlns:c="http://schemas.openxmlformats.org/drawingml/2006/chart" xmlns:r="http://schemas.openxmlformats.org/officeDocument/2006/relationships" r:id="rId10"/>
          </a:graphicData>
        </a:graphic>
      </xdr:graphicFrame>
      <xdr:sp macro="" textlink="$A$22">
        <xdr:nvSpPr>
          <xdr:cNvPr id="119" name="TextBox 25">
            <a:extLst>
              <a:ext uri="{FF2B5EF4-FFF2-40B4-BE49-F238E27FC236}">
                <a16:creationId xmlns:a16="http://schemas.microsoft.com/office/drawing/2014/main" id="{C1634CEC-D16A-00CA-8ABC-15FE6D82FE10}"/>
              </a:ext>
            </a:extLst>
          </xdr:cNvPr>
          <xdr:cNvSpPr txBox="1"/>
        </xdr:nvSpPr>
        <xdr:spPr>
          <a:xfrm>
            <a:off x="11509061" y="5792438"/>
            <a:ext cx="2511855" cy="23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E59D4C-022E-44B1-88EC-EAABEA128431}" type="TxLink">
              <a:rPr lang="en-US" sz="1200" b="1" i="0" u="none" strike="noStrike">
                <a:solidFill>
                  <a:srgbClr val="000000"/>
                </a:solidFill>
                <a:latin typeface="Calibri"/>
                <a:ea typeface="Calibri"/>
                <a:cs typeface="Calibri"/>
              </a:rPr>
              <a:pPr algn="ctr"/>
              <a:t>Remote resolution</a:t>
            </a:fld>
            <a:endParaRPr lang="en-IN" sz="1800" b="1"/>
          </a:p>
        </xdr:txBody>
      </xdr:sp>
    </xdr:grpSp>
    <xdr:clientData/>
  </xdr:twoCellAnchor>
  <xdr:twoCellAnchor>
    <xdr:from>
      <xdr:col>13</xdr:col>
      <xdr:colOff>475012</xdr:colOff>
      <xdr:row>29</xdr:row>
      <xdr:rowOff>51130</xdr:rowOff>
    </xdr:from>
    <xdr:to>
      <xdr:col>16</xdr:col>
      <xdr:colOff>500944</xdr:colOff>
      <xdr:row>43</xdr:row>
      <xdr:rowOff>0</xdr:rowOff>
    </xdr:to>
    <xdr:grpSp>
      <xdr:nvGrpSpPr>
        <xdr:cNvPr id="126" name="Group 26">
          <a:extLst>
            <a:ext uri="{FF2B5EF4-FFF2-40B4-BE49-F238E27FC236}">
              <a16:creationId xmlns:a16="http://schemas.microsoft.com/office/drawing/2014/main" id="{FBD26090-A6B9-4F0A-A175-9C97974C55E8}"/>
            </a:ext>
          </a:extLst>
        </xdr:cNvPr>
        <xdr:cNvGrpSpPr/>
      </xdr:nvGrpSpPr>
      <xdr:grpSpPr>
        <a:xfrm>
          <a:off x="15934087" y="5985205"/>
          <a:ext cx="3397782" cy="2482520"/>
          <a:chOff x="14383240" y="5433345"/>
          <a:chExt cx="2349106" cy="2083197"/>
        </a:xfrm>
      </xdr:grpSpPr>
      <xdr:graphicFrame macro="">
        <xdr:nvGraphicFramePr>
          <xdr:cNvPr id="127" name="Chart 27">
            <a:extLst>
              <a:ext uri="{FF2B5EF4-FFF2-40B4-BE49-F238E27FC236}">
                <a16:creationId xmlns:a16="http://schemas.microsoft.com/office/drawing/2014/main" id="{0AD859E3-BCFB-2AE6-CE7F-FAEDC424D470}"/>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11"/>
          </a:graphicData>
        </a:graphic>
      </xdr:graphicFrame>
      <xdr:sp macro="" textlink="$A$24">
        <xdr:nvSpPr>
          <xdr:cNvPr id="128" name="TextBox 28">
            <a:extLst>
              <a:ext uri="{FF2B5EF4-FFF2-40B4-BE49-F238E27FC236}">
                <a16:creationId xmlns:a16="http://schemas.microsoft.com/office/drawing/2014/main" id="{98443AD8-8BE8-B326-5BEF-18FDBBD78F5F}"/>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A950B5-7123-4044-B4C3-F7177EBD93F4}" type="TxLink">
              <a:rPr lang="en-US" sz="1200" b="1" i="0" u="none" strike="noStrike">
                <a:solidFill>
                  <a:srgbClr val="000000"/>
                </a:solidFill>
                <a:latin typeface="Calibri"/>
                <a:ea typeface="Calibri"/>
                <a:cs typeface="Calibri"/>
              </a:rPr>
              <a:pPr algn="ctr"/>
              <a:t>OPF%</a:t>
            </a:fld>
            <a:endParaRPr lang="en-IN" sz="1800" b="1"/>
          </a:p>
        </xdr:txBody>
      </xdr:sp>
    </xdr:grpSp>
    <xdr:clientData/>
  </xdr:twoCellAnchor>
  <xdr:twoCellAnchor>
    <xdr:from>
      <xdr:col>0</xdr:col>
      <xdr:colOff>0</xdr:colOff>
      <xdr:row>71</xdr:row>
      <xdr:rowOff>23585</xdr:rowOff>
    </xdr:from>
    <xdr:to>
      <xdr:col>2</xdr:col>
      <xdr:colOff>1183765</xdr:colOff>
      <xdr:row>85</xdr:row>
      <xdr:rowOff>109753</xdr:rowOff>
    </xdr:to>
    <xdr:grpSp>
      <xdr:nvGrpSpPr>
        <xdr:cNvPr id="154" name="Group 29">
          <a:extLst>
            <a:ext uri="{FF2B5EF4-FFF2-40B4-BE49-F238E27FC236}">
              <a16:creationId xmlns:a16="http://schemas.microsoft.com/office/drawing/2014/main" id="{BD94F43B-6D2E-45E7-BAD3-FBADFE537958}"/>
            </a:ext>
          </a:extLst>
        </xdr:cNvPr>
        <xdr:cNvGrpSpPr/>
      </xdr:nvGrpSpPr>
      <xdr:grpSpPr>
        <a:xfrm>
          <a:off x="0" y="15034985"/>
          <a:ext cx="4412740"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155" name="Chart 30">
                <a:extLst>
                  <a:ext uri="{FF2B5EF4-FFF2-40B4-BE49-F238E27FC236}">
                    <a16:creationId xmlns:a16="http://schemas.microsoft.com/office/drawing/2014/main" id="{00107C3B-88E1-1F54-3675-3BE3CD3410E2}"/>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1">
        <xdr:nvSpPr>
          <xdr:cNvPr id="156" name="TextBox 31">
            <a:extLst>
              <a:ext uri="{FF2B5EF4-FFF2-40B4-BE49-F238E27FC236}">
                <a16:creationId xmlns:a16="http://schemas.microsoft.com/office/drawing/2014/main" id="{EA382973-61B3-9791-CC46-94B7EAFC793E}"/>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CS Sales</a:t>
            </a:fld>
            <a:endParaRPr lang="en-IN" sz="1600" b="1"/>
          </a:p>
        </xdr:txBody>
      </xdr:sp>
    </xdr:grpSp>
    <xdr:clientData/>
  </xdr:twoCellAnchor>
  <xdr:twoCellAnchor>
    <xdr:from>
      <xdr:col>2</xdr:col>
      <xdr:colOff>1249382</xdr:colOff>
      <xdr:row>70</xdr:row>
      <xdr:rowOff>257956</xdr:rowOff>
    </xdr:from>
    <xdr:to>
      <xdr:col>5</xdr:col>
      <xdr:colOff>932901</xdr:colOff>
      <xdr:row>85</xdr:row>
      <xdr:rowOff>125432</xdr:rowOff>
    </xdr:to>
    <xdr:grpSp>
      <xdr:nvGrpSpPr>
        <xdr:cNvPr id="148" name="Group 32">
          <a:extLst>
            <a:ext uri="{FF2B5EF4-FFF2-40B4-BE49-F238E27FC236}">
              <a16:creationId xmlns:a16="http://schemas.microsoft.com/office/drawing/2014/main" id="{4A7169A4-02CB-4D78-BA2B-EB64C50C9CF8}"/>
            </a:ext>
          </a:extLst>
        </xdr:cNvPr>
        <xdr:cNvGrpSpPr/>
      </xdr:nvGrpSpPr>
      <xdr:grpSpPr>
        <a:xfrm>
          <a:off x="4478357" y="15002656"/>
          <a:ext cx="3960244"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149" name="Chart 33">
                <a:extLst>
                  <a:ext uri="{FF2B5EF4-FFF2-40B4-BE49-F238E27FC236}">
                    <a16:creationId xmlns:a16="http://schemas.microsoft.com/office/drawing/2014/main" id="{F352FDCD-4AC1-184A-578A-02DF68C487A1}"/>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4">
        <xdr:nvSpPr>
          <xdr:cNvPr id="150" name="TextBox 34">
            <a:extLst>
              <a:ext uri="{FF2B5EF4-FFF2-40B4-BE49-F238E27FC236}">
                <a16:creationId xmlns:a16="http://schemas.microsoft.com/office/drawing/2014/main" id="{BF867F3B-261D-37A9-85CF-CC9681A63808}"/>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IGM%</a:t>
            </a:fld>
            <a:endParaRPr lang="en-IN" sz="1600" b="1"/>
          </a:p>
        </xdr:txBody>
      </xdr:sp>
    </xdr:grpSp>
    <xdr:clientData/>
  </xdr:twoCellAnchor>
  <xdr:twoCellAnchor>
    <xdr:from>
      <xdr:col>5</xdr:col>
      <xdr:colOff>1003064</xdr:colOff>
      <xdr:row>71</xdr:row>
      <xdr:rowOff>15312</xdr:rowOff>
    </xdr:from>
    <xdr:to>
      <xdr:col>9</xdr:col>
      <xdr:colOff>611482</xdr:colOff>
      <xdr:row>85</xdr:row>
      <xdr:rowOff>125432</xdr:rowOff>
    </xdr:to>
    <xdr:grpSp>
      <xdr:nvGrpSpPr>
        <xdr:cNvPr id="139" name="Group 35">
          <a:extLst>
            <a:ext uri="{FF2B5EF4-FFF2-40B4-BE49-F238E27FC236}">
              <a16:creationId xmlns:a16="http://schemas.microsoft.com/office/drawing/2014/main" id="{A81725B3-4C22-4663-8F06-167DD2781B17}"/>
            </a:ext>
          </a:extLst>
        </xdr:cNvPr>
        <xdr:cNvGrpSpPr/>
      </xdr:nvGrpSpPr>
      <xdr:grpSpPr>
        <a:xfrm>
          <a:off x="8508764" y="15026712"/>
          <a:ext cx="3780368"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40" name="Chart 36">
                <a:extLst>
                  <a:ext uri="{FF2B5EF4-FFF2-40B4-BE49-F238E27FC236}">
                    <a16:creationId xmlns:a16="http://schemas.microsoft.com/office/drawing/2014/main" id="{A40C038B-738F-C911-6FB3-641B1C1C3C57}"/>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141" name="TextBox 37">
            <a:extLst>
              <a:ext uri="{FF2B5EF4-FFF2-40B4-BE49-F238E27FC236}">
                <a16:creationId xmlns:a16="http://schemas.microsoft.com/office/drawing/2014/main" id="{904B2722-C0BE-04F2-3FF9-7D6F7EA766E2}"/>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First Vist Fix (Parts)%</a:t>
            </a:fld>
            <a:endParaRPr lang="en-IN" sz="1600" b="1"/>
          </a:p>
        </xdr:txBody>
      </xdr:sp>
    </xdr:grpSp>
    <xdr:clientData/>
  </xdr:twoCellAnchor>
  <xdr:twoCellAnchor>
    <xdr:from>
      <xdr:col>9</xdr:col>
      <xdr:colOff>658518</xdr:colOff>
      <xdr:row>70</xdr:row>
      <xdr:rowOff>266376</xdr:rowOff>
    </xdr:from>
    <xdr:to>
      <xdr:col>13</xdr:col>
      <xdr:colOff>7762</xdr:colOff>
      <xdr:row>85</xdr:row>
      <xdr:rowOff>94074</xdr:rowOff>
    </xdr:to>
    <xdr:grpSp>
      <xdr:nvGrpSpPr>
        <xdr:cNvPr id="151" name="Group 38">
          <a:extLst>
            <a:ext uri="{FF2B5EF4-FFF2-40B4-BE49-F238E27FC236}">
              <a16:creationId xmlns:a16="http://schemas.microsoft.com/office/drawing/2014/main" id="{D60395D1-61CA-4949-9EDF-B0E95B7D9085}"/>
            </a:ext>
          </a:extLst>
        </xdr:cNvPr>
        <xdr:cNvGrpSpPr/>
      </xdr:nvGrpSpPr>
      <xdr:grpSpPr>
        <a:xfrm>
          <a:off x="12336168" y="15011076"/>
          <a:ext cx="313066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152" name="Chart 39">
                <a:extLst>
                  <a:ext uri="{FF2B5EF4-FFF2-40B4-BE49-F238E27FC236}">
                    <a16:creationId xmlns:a16="http://schemas.microsoft.com/office/drawing/2014/main" id="{F8D44108-0FA5-EAA0-74A1-B2C45AE28624}"/>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0">
        <xdr:nvSpPr>
          <xdr:cNvPr id="153" name="TextBox 40">
            <a:extLst>
              <a:ext uri="{FF2B5EF4-FFF2-40B4-BE49-F238E27FC236}">
                <a16:creationId xmlns:a16="http://schemas.microsoft.com/office/drawing/2014/main" id="{9413D48B-F4B4-6BC5-57AC-992765762F1A}"/>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CP%</a:t>
            </a:fld>
            <a:endParaRPr lang="en-IN" sz="1600" b="1"/>
          </a:p>
        </xdr:txBody>
      </xdr:sp>
    </xdr:grpSp>
    <xdr:clientData/>
  </xdr:twoCellAnchor>
  <xdr:twoCellAnchor>
    <xdr:from>
      <xdr:col>13</xdr:col>
      <xdr:colOff>54876</xdr:colOff>
      <xdr:row>70</xdr:row>
      <xdr:rowOff>233461</xdr:rowOff>
    </xdr:from>
    <xdr:to>
      <xdr:col>16</xdr:col>
      <xdr:colOff>266543</xdr:colOff>
      <xdr:row>85</xdr:row>
      <xdr:rowOff>94074</xdr:rowOff>
    </xdr:to>
    <xdr:grpSp>
      <xdr:nvGrpSpPr>
        <xdr:cNvPr id="145" name="Group 41">
          <a:extLst>
            <a:ext uri="{FF2B5EF4-FFF2-40B4-BE49-F238E27FC236}">
              <a16:creationId xmlns:a16="http://schemas.microsoft.com/office/drawing/2014/main" id="{E1FDFC61-80A5-44A5-8BDD-EB77E668F41A}"/>
            </a:ext>
          </a:extLst>
        </xdr:cNvPr>
        <xdr:cNvGrpSpPr/>
      </xdr:nvGrpSpPr>
      <xdr:grpSpPr>
        <a:xfrm>
          <a:off x="15513951" y="14978161"/>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146" name="Chart 42">
                <a:extLst>
                  <a:ext uri="{FF2B5EF4-FFF2-40B4-BE49-F238E27FC236}">
                    <a16:creationId xmlns:a16="http://schemas.microsoft.com/office/drawing/2014/main" id="{413B9397-85BD-01A3-7C55-4D148E01E3BE}"/>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3">
        <xdr:nvSpPr>
          <xdr:cNvPr id="147" name="TextBox 43">
            <a:extLst>
              <a:ext uri="{FF2B5EF4-FFF2-40B4-BE49-F238E27FC236}">
                <a16:creationId xmlns:a16="http://schemas.microsoft.com/office/drawing/2014/main" id="{C4D9D442-6138-B63C-D769-A5414D98BDBD}"/>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70</xdr:row>
      <xdr:rowOff>232552</xdr:rowOff>
    </xdr:from>
    <xdr:to>
      <xdr:col>20</xdr:col>
      <xdr:colOff>31358</xdr:colOff>
      <xdr:row>85</xdr:row>
      <xdr:rowOff>117593</xdr:rowOff>
    </xdr:to>
    <xdr:grpSp>
      <xdr:nvGrpSpPr>
        <xdr:cNvPr id="157" name="Group 44">
          <a:extLst>
            <a:ext uri="{FF2B5EF4-FFF2-40B4-BE49-F238E27FC236}">
              <a16:creationId xmlns:a16="http://schemas.microsoft.com/office/drawing/2014/main" id="{33742231-468F-4B2A-8FA9-978D0961803F}"/>
            </a:ext>
          </a:extLst>
        </xdr:cNvPr>
        <xdr:cNvGrpSpPr/>
      </xdr:nvGrpSpPr>
      <xdr:grpSpPr>
        <a:xfrm>
          <a:off x="19160185" y="14977252"/>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58" name="Chart 45">
                <a:extLst>
                  <a:ext uri="{FF2B5EF4-FFF2-40B4-BE49-F238E27FC236}">
                    <a16:creationId xmlns:a16="http://schemas.microsoft.com/office/drawing/2014/main" id="{E33887E1-6522-2D41-C27C-C30663EEB702}"/>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6">
        <xdr:nvSpPr>
          <xdr:cNvPr id="159" name="TextBox 46">
            <a:extLst>
              <a:ext uri="{FF2B5EF4-FFF2-40B4-BE49-F238E27FC236}">
                <a16:creationId xmlns:a16="http://schemas.microsoft.com/office/drawing/2014/main" id="{3C8D9049-C889-3F71-C744-46ECDA6065DA}"/>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604229</xdr:colOff>
      <xdr:row>29</xdr:row>
      <xdr:rowOff>60678</xdr:rowOff>
    </xdr:from>
    <xdr:to>
      <xdr:col>20</xdr:col>
      <xdr:colOff>176388</xdr:colOff>
      <xdr:row>42</xdr:row>
      <xdr:rowOff>169333</xdr:rowOff>
    </xdr:to>
    <xdr:grpSp>
      <xdr:nvGrpSpPr>
        <xdr:cNvPr id="51" name="Group 67">
          <a:extLst>
            <a:ext uri="{FF2B5EF4-FFF2-40B4-BE49-F238E27FC236}">
              <a16:creationId xmlns:a16="http://schemas.microsoft.com/office/drawing/2014/main" id="{34BA4D25-DA15-DBF5-BE33-F4B087372740}"/>
            </a:ext>
          </a:extLst>
        </xdr:cNvPr>
        <xdr:cNvGrpSpPr/>
      </xdr:nvGrpSpPr>
      <xdr:grpSpPr>
        <a:xfrm>
          <a:off x="19435154" y="5994753"/>
          <a:ext cx="3439309" cy="2461330"/>
          <a:chOff x="19739093" y="5895623"/>
          <a:chExt cx="3716709" cy="2649439"/>
        </a:xfrm>
      </xdr:grpSpPr>
      <xdr:graphicFrame macro="">
        <xdr:nvGraphicFramePr>
          <xdr:cNvPr id="52" name="Chart 65">
            <a:extLst>
              <a:ext uri="{FF2B5EF4-FFF2-40B4-BE49-F238E27FC236}">
                <a16:creationId xmlns:a16="http://schemas.microsoft.com/office/drawing/2014/main" id="{ADCD39BA-BB75-1914-C182-DD3C82340715}"/>
              </a:ext>
            </a:extLst>
          </xdr:cNvPr>
          <xdr:cNvGraphicFramePr/>
        </xdr:nvGraphicFramePr>
        <xdr:xfrm>
          <a:off x="19739093" y="5895623"/>
          <a:ext cx="3716709" cy="2649439"/>
        </xdr:xfrm>
        <a:graphic>
          <a:graphicData uri="http://schemas.openxmlformats.org/drawingml/2006/chart">
            <c:chart xmlns:c="http://schemas.openxmlformats.org/drawingml/2006/chart" xmlns:r="http://schemas.openxmlformats.org/officeDocument/2006/relationships" r:id="rId18"/>
          </a:graphicData>
        </a:graphic>
      </xdr:graphicFrame>
      <xdr:sp macro="" textlink="$A$26">
        <xdr:nvSpPr>
          <xdr:cNvPr id="53" name="TextBox 66">
            <a:extLst>
              <a:ext uri="{FF2B5EF4-FFF2-40B4-BE49-F238E27FC236}">
                <a16:creationId xmlns:a16="http://schemas.microsoft.com/office/drawing/2014/main" id="{80830BD2-025A-AC06-9E01-0AD0B02C89F4}"/>
              </a:ext>
            </a:extLst>
          </xdr:cNvPr>
          <xdr:cNvSpPr txBox="1"/>
        </xdr:nvSpPr>
        <xdr:spPr>
          <a:xfrm>
            <a:off x="19779074" y="5942346"/>
            <a:ext cx="3629691" cy="22734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165A8D3-06E0-47E2-BC6F-DD19DA6921DE}" type="TxLink">
              <a:rPr lang="en-US" sz="1200" b="1" i="0" u="none" strike="noStrike">
                <a:solidFill>
                  <a:srgbClr val="000000"/>
                </a:solidFill>
                <a:latin typeface="Aptos Narrow"/>
              </a:rPr>
              <a:pPr algn="ctr"/>
              <a:t>First Vist Fix (Parts)</a:t>
            </a:fld>
            <a:endParaRPr lang="en-IN" sz="1600" b="1"/>
          </a:p>
        </xdr:txBody>
      </xdr:sp>
    </xdr:grpSp>
    <xdr:clientData/>
  </xdr:twoCellAnchor>
  <xdr:twoCellAnchor>
    <xdr:from>
      <xdr:col>20</xdr:col>
      <xdr:colOff>37160</xdr:colOff>
      <xdr:row>70</xdr:row>
      <xdr:rowOff>248880</xdr:rowOff>
    </xdr:from>
    <xdr:to>
      <xdr:col>37</xdr:col>
      <xdr:colOff>428686</xdr:colOff>
      <xdr:row>85</xdr:row>
      <xdr:rowOff>133921</xdr:rowOff>
    </xdr:to>
    <xdr:grpSp>
      <xdr:nvGrpSpPr>
        <xdr:cNvPr id="142" name="Group 44">
          <a:extLst>
            <a:ext uri="{FF2B5EF4-FFF2-40B4-BE49-F238E27FC236}">
              <a16:creationId xmlns:a16="http://schemas.microsoft.com/office/drawing/2014/main" id="{2BF0FDE9-E91E-40B9-8A79-E2FE9730A269}"/>
            </a:ext>
          </a:extLst>
        </xdr:cNvPr>
        <xdr:cNvGrpSpPr/>
      </xdr:nvGrpSpPr>
      <xdr:grpSpPr>
        <a:xfrm>
          <a:off x="22735235" y="14993580"/>
          <a:ext cx="3601451"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43" name="Chart 45">
                <a:extLst>
                  <a:ext uri="{FF2B5EF4-FFF2-40B4-BE49-F238E27FC236}">
                    <a16:creationId xmlns:a16="http://schemas.microsoft.com/office/drawing/2014/main" id="{7A62A5B9-BC7F-44DF-324C-ECA3D7869E7D}"/>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9">
        <xdr:nvSpPr>
          <xdr:cNvPr id="144" name="TextBox 46">
            <a:extLst>
              <a:ext uri="{FF2B5EF4-FFF2-40B4-BE49-F238E27FC236}">
                <a16:creationId xmlns:a16="http://schemas.microsoft.com/office/drawing/2014/main" id="{146842EF-4384-AA31-9055-C4F503948CAA}"/>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F50E8DC-E620-41D3-9670-F24E607107DA}" type="TxLink">
              <a:rPr lang="en-US" sz="1000" b="0" i="0" u="none" strike="noStrike">
                <a:solidFill>
                  <a:srgbClr val="000000"/>
                </a:solidFill>
                <a:latin typeface="Aptos Narrow"/>
              </a:rPr>
              <a:pPr algn="ctr"/>
              <a:t> </a:t>
            </a:fld>
            <a:endParaRPr lang="en-IN" sz="1600" b="1"/>
          </a:p>
        </xdr:txBody>
      </xdr:sp>
    </xdr:grpSp>
    <xdr:clientData/>
  </xdr:twoCellAnchor>
  <xdr:twoCellAnchor editAs="oneCell">
    <xdr:from>
      <xdr:col>7</xdr:col>
      <xdr:colOff>1080430</xdr:colOff>
      <xdr:row>58</xdr:row>
      <xdr:rowOff>16339</xdr:rowOff>
    </xdr:from>
    <xdr:to>
      <xdr:col>17</xdr:col>
      <xdr:colOff>129174</xdr:colOff>
      <xdr:row>65</xdr:row>
      <xdr:rowOff>106076</xdr:rowOff>
    </xdr:to>
    <xdr:pic>
      <xdr:nvPicPr>
        <xdr:cNvPr id="81" name="Picture 80">
          <a:extLst>
            <a:ext uri="{FF2B5EF4-FFF2-40B4-BE49-F238E27FC236}">
              <a16:creationId xmlns:a16="http://schemas.microsoft.com/office/drawing/2014/main" id="{B5D32D4F-3BFA-6C84-F2C5-FAD5625A0A07}"/>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1219263" y="12039006"/>
          <a:ext cx="9646189" cy="17689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oneCellAnchor>
    <xdr:from>
      <xdr:col>2</xdr:col>
      <xdr:colOff>0</xdr:colOff>
      <xdr:row>96</xdr:row>
      <xdr:rowOff>0</xdr:rowOff>
    </xdr:from>
    <xdr:ext cx="168910" cy="457200"/>
    <xdr:sp macro="" textlink="">
      <xdr:nvSpPr>
        <xdr:cNvPr id="2" name="Text Box 9">
          <a:extLst>
            <a:ext uri="{FF2B5EF4-FFF2-40B4-BE49-F238E27FC236}">
              <a16:creationId xmlns:a16="http://schemas.microsoft.com/office/drawing/2014/main" id="{BE1A6B54-CD1D-4780-B7BB-A2175F6B0D34}"/>
            </a:ext>
          </a:extLst>
        </xdr:cNvPr>
        <xdr:cNvSpPr txBox="1">
          <a:spLocks noChangeArrowheads="1"/>
        </xdr:cNvSpPr>
      </xdr:nvSpPr>
      <xdr:spPr bwMode="auto">
        <a:xfrm>
          <a:off x="3028950" y="211645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96</xdr:row>
      <xdr:rowOff>0</xdr:rowOff>
    </xdr:from>
    <xdr:ext cx="167005" cy="457200"/>
    <xdr:sp macro="" textlink="">
      <xdr:nvSpPr>
        <xdr:cNvPr id="3" name="Text Box 13">
          <a:extLst>
            <a:ext uri="{FF2B5EF4-FFF2-40B4-BE49-F238E27FC236}">
              <a16:creationId xmlns:a16="http://schemas.microsoft.com/office/drawing/2014/main" id="{52D45EED-723A-4882-98E9-EBDBC9B6613A}"/>
            </a:ext>
          </a:extLst>
        </xdr:cNvPr>
        <xdr:cNvSpPr txBox="1">
          <a:spLocks noChangeArrowheads="1"/>
        </xdr:cNvSpPr>
      </xdr:nvSpPr>
      <xdr:spPr bwMode="auto">
        <a:xfrm>
          <a:off x="11150600" y="211645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96</xdr:row>
      <xdr:rowOff>0</xdr:rowOff>
    </xdr:from>
    <xdr:ext cx="167005" cy="457200"/>
    <xdr:sp macro="" textlink="">
      <xdr:nvSpPr>
        <xdr:cNvPr id="4" name="Text Box 13">
          <a:extLst>
            <a:ext uri="{FF2B5EF4-FFF2-40B4-BE49-F238E27FC236}">
              <a16:creationId xmlns:a16="http://schemas.microsoft.com/office/drawing/2014/main" id="{51DDEB77-5754-430F-90ED-6D7FE3D764B0}"/>
            </a:ext>
          </a:extLst>
        </xdr:cNvPr>
        <xdr:cNvSpPr txBox="1">
          <a:spLocks noChangeArrowheads="1"/>
        </xdr:cNvSpPr>
      </xdr:nvSpPr>
      <xdr:spPr bwMode="auto">
        <a:xfrm>
          <a:off x="11150600" y="211645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96</xdr:row>
      <xdr:rowOff>0</xdr:rowOff>
    </xdr:from>
    <xdr:ext cx="152400" cy="457200"/>
    <xdr:sp macro="" textlink="">
      <xdr:nvSpPr>
        <xdr:cNvPr id="5" name="Text Box 13">
          <a:extLst>
            <a:ext uri="{FF2B5EF4-FFF2-40B4-BE49-F238E27FC236}">
              <a16:creationId xmlns:a16="http://schemas.microsoft.com/office/drawing/2014/main" id="{02FCCCBF-C81A-43E0-A819-2C61622BFD17}"/>
            </a:ext>
          </a:extLst>
        </xdr:cNvPr>
        <xdr:cNvSpPr txBox="1">
          <a:spLocks noChangeArrowheads="1"/>
        </xdr:cNvSpPr>
      </xdr:nvSpPr>
      <xdr:spPr bwMode="auto">
        <a:xfrm>
          <a:off x="11130334" y="211645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96</xdr:row>
      <xdr:rowOff>0</xdr:rowOff>
    </xdr:from>
    <xdr:ext cx="168910" cy="457200"/>
    <xdr:sp macro="" textlink="">
      <xdr:nvSpPr>
        <xdr:cNvPr id="6" name="Text Box 9">
          <a:extLst>
            <a:ext uri="{FF2B5EF4-FFF2-40B4-BE49-F238E27FC236}">
              <a16:creationId xmlns:a16="http://schemas.microsoft.com/office/drawing/2014/main" id="{4955378C-44B0-404F-B072-DF888E109F53}"/>
            </a:ext>
          </a:extLst>
        </xdr:cNvPr>
        <xdr:cNvSpPr txBox="1">
          <a:spLocks noChangeArrowheads="1"/>
        </xdr:cNvSpPr>
      </xdr:nvSpPr>
      <xdr:spPr bwMode="auto">
        <a:xfrm>
          <a:off x="3059553" y="211645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93</xdr:row>
      <xdr:rowOff>10092</xdr:rowOff>
    </xdr:from>
    <xdr:to>
      <xdr:col>2</xdr:col>
      <xdr:colOff>203199</xdr:colOff>
      <xdr:row>93</xdr:row>
      <xdr:rowOff>149302</xdr:rowOff>
    </xdr:to>
    <xdr:pic>
      <xdr:nvPicPr>
        <xdr:cNvPr id="7" name="Picture 6">
          <a:extLst>
            <a:ext uri="{FF2B5EF4-FFF2-40B4-BE49-F238E27FC236}">
              <a16:creationId xmlns:a16="http://schemas.microsoft.com/office/drawing/2014/main" id="{D0D91A34-EE23-408C-A559-3BB935635DB5}"/>
            </a:ext>
          </a:extLst>
        </xdr:cNvPr>
        <xdr:cNvPicPr>
          <a:picLocks noChangeAspect="1"/>
        </xdr:cNvPicPr>
      </xdr:nvPicPr>
      <xdr:blipFill>
        <a:blip xmlns:r="http://schemas.openxmlformats.org/officeDocument/2006/relationships" r:embed="rId1"/>
        <a:stretch>
          <a:fillRect/>
        </a:stretch>
      </xdr:blipFill>
      <xdr:spPr>
        <a:xfrm>
          <a:off x="3067050" y="20622192"/>
          <a:ext cx="165099" cy="139210"/>
        </a:xfrm>
        <a:prstGeom prst="rect">
          <a:avLst/>
        </a:prstGeom>
      </xdr:spPr>
    </xdr:pic>
    <xdr:clientData/>
  </xdr:twoCellAnchor>
  <xdr:twoCellAnchor editAs="oneCell">
    <xdr:from>
      <xdr:col>3</xdr:col>
      <xdr:colOff>13710</xdr:colOff>
      <xdr:row>93</xdr:row>
      <xdr:rowOff>13986</xdr:rowOff>
    </xdr:from>
    <xdr:to>
      <xdr:col>3</xdr:col>
      <xdr:colOff>154322</xdr:colOff>
      <xdr:row>93</xdr:row>
      <xdr:rowOff>159711</xdr:rowOff>
    </xdr:to>
    <xdr:pic>
      <xdr:nvPicPr>
        <xdr:cNvPr id="8" name="Picture 7">
          <a:extLst>
            <a:ext uri="{FF2B5EF4-FFF2-40B4-BE49-F238E27FC236}">
              <a16:creationId xmlns:a16="http://schemas.microsoft.com/office/drawing/2014/main" id="{F6DD0BCB-B449-4AE3-A0FB-AF7A6DBE62C8}"/>
            </a:ext>
          </a:extLst>
        </xdr:cNvPr>
        <xdr:cNvPicPr>
          <a:picLocks noChangeAspect="1"/>
        </xdr:cNvPicPr>
      </xdr:nvPicPr>
      <xdr:blipFill>
        <a:blip xmlns:r="http://schemas.openxmlformats.org/officeDocument/2006/relationships" r:embed="rId2"/>
        <a:stretch>
          <a:fillRect/>
        </a:stretch>
      </xdr:blipFill>
      <xdr:spPr>
        <a:xfrm>
          <a:off x="4465060" y="20626086"/>
          <a:ext cx="140612" cy="145725"/>
        </a:xfrm>
        <a:prstGeom prst="rect">
          <a:avLst/>
        </a:prstGeom>
      </xdr:spPr>
    </xdr:pic>
    <xdr:clientData/>
  </xdr:twoCellAnchor>
  <xdr:twoCellAnchor editAs="oneCell">
    <xdr:from>
      <xdr:col>4</xdr:col>
      <xdr:colOff>44450</xdr:colOff>
      <xdr:row>93</xdr:row>
      <xdr:rowOff>19130</xdr:rowOff>
    </xdr:from>
    <xdr:to>
      <xdr:col>4</xdr:col>
      <xdr:colOff>215900</xdr:colOff>
      <xdr:row>93</xdr:row>
      <xdr:rowOff>181100</xdr:rowOff>
    </xdr:to>
    <xdr:pic>
      <xdr:nvPicPr>
        <xdr:cNvPr id="9" name="Picture 8">
          <a:extLst>
            <a:ext uri="{FF2B5EF4-FFF2-40B4-BE49-F238E27FC236}">
              <a16:creationId xmlns:a16="http://schemas.microsoft.com/office/drawing/2014/main" id="{ABAC4891-8142-49F4-A388-957751145401}"/>
            </a:ext>
          </a:extLst>
        </xdr:cNvPr>
        <xdr:cNvPicPr>
          <a:picLocks noChangeAspect="1"/>
        </xdr:cNvPicPr>
      </xdr:nvPicPr>
      <xdr:blipFill>
        <a:blip xmlns:r="http://schemas.openxmlformats.org/officeDocument/2006/relationships" r:embed="rId3"/>
        <a:stretch>
          <a:fillRect/>
        </a:stretch>
      </xdr:blipFill>
      <xdr:spPr>
        <a:xfrm flipV="1">
          <a:off x="5867400" y="20631230"/>
          <a:ext cx="171450" cy="165918"/>
        </a:xfrm>
        <a:prstGeom prst="rect">
          <a:avLst/>
        </a:prstGeom>
      </xdr:spPr>
    </xdr:pic>
    <xdr:clientData/>
  </xdr:twoCellAnchor>
  <xdr:oneCellAnchor>
    <xdr:from>
      <xdr:col>1</xdr:col>
      <xdr:colOff>20248</xdr:colOff>
      <xdr:row>93</xdr:row>
      <xdr:rowOff>8127</xdr:rowOff>
    </xdr:from>
    <xdr:ext cx="199069" cy="170387"/>
    <xdr:pic>
      <xdr:nvPicPr>
        <xdr:cNvPr id="10" name="Picture 9">
          <a:extLst>
            <a:ext uri="{FF2B5EF4-FFF2-40B4-BE49-F238E27FC236}">
              <a16:creationId xmlns:a16="http://schemas.microsoft.com/office/drawing/2014/main" id="{1244FA0D-81F4-4F60-B723-7B87EEB28297}"/>
            </a:ext>
          </a:extLst>
        </xdr:cNvPr>
        <xdr:cNvPicPr>
          <a:picLocks noChangeAspect="1"/>
        </xdr:cNvPicPr>
      </xdr:nvPicPr>
      <xdr:blipFill>
        <a:blip xmlns:r="http://schemas.openxmlformats.org/officeDocument/2006/relationships" r:embed="rId4"/>
        <a:stretch>
          <a:fillRect/>
        </a:stretch>
      </xdr:blipFill>
      <xdr:spPr>
        <a:xfrm>
          <a:off x="1487098" y="20620227"/>
          <a:ext cx="199069" cy="170387"/>
        </a:xfrm>
        <a:prstGeom prst="rect">
          <a:avLst/>
        </a:prstGeom>
      </xdr:spPr>
    </xdr:pic>
    <xdr:clientData/>
  </xdr:oneCellAnchor>
  <xdr:twoCellAnchor editAs="oneCell">
    <xdr:from>
      <xdr:col>0</xdr:col>
      <xdr:colOff>0</xdr:colOff>
      <xdr:row>93</xdr:row>
      <xdr:rowOff>7863</xdr:rowOff>
    </xdr:from>
    <xdr:to>
      <xdr:col>0</xdr:col>
      <xdr:colOff>208786</xdr:colOff>
      <xdr:row>93</xdr:row>
      <xdr:rowOff>180450</xdr:rowOff>
    </xdr:to>
    <xdr:pic>
      <xdr:nvPicPr>
        <xdr:cNvPr id="11" name="Picture 10">
          <a:extLst>
            <a:ext uri="{FF2B5EF4-FFF2-40B4-BE49-F238E27FC236}">
              <a16:creationId xmlns:a16="http://schemas.microsoft.com/office/drawing/2014/main" id="{28667637-4052-4C28-864B-3F2CEACDF64A}"/>
            </a:ext>
          </a:extLst>
        </xdr:cNvPr>
        <xdr:cNvPicPr>
          <a:picLocks noChangeAspect="1"/>
        </xdr:cNvPicPr>
      </xdr:nvPicPr>
      <xdr:blipFill>
        <a:blip xmlns:r="http://schemas.openxmlformats.org/officeDocument/2006/relationships" r:embed="rId5"/>
        <a:stretch>
          <a:fillRect/>
        </a:stretch>
      </xdr:blipFill>
      <xdr:spPr>
        <a:xfrm>
          <a:off x="0" y="20619963"/>
          <a:ext cx="208786" cy="176535"/>
        </a:xfrm>
        <a:prstGeom prst="rect">
          <a:avLst/>
        </a:prstGeom>
      </xdr:spPr>
    </xdr:pic>
    <xdr:clientData/>
  </xdr:twoCellAnchor>
  <xdr:twoCellAnchor>
    <xdr:from>
      <xdr:col>0</xdr:col>
      <xdr:colOff>64335</xdr:colOff>
      <xdr:row>24</xdr:row>
      <xdr:rowOff>254835</xdr:rowOff>
    </xdr:from>
    <xdr:to>
      <xdr:col>1</xdr:col>
      <xdr:colOff>1445436</xdr:colOff>
      <xdr:row>38</xdr:row>
      <xdr:rowOff>154907</xdr:rowOff>
    </xdr:to>
    <xdr:grpSp>
      <xdr:nvGrpSpPr>
        <xdr:cNvPr id="51" name="Group 11">
          <a:extLst>
            <a:ext uri="{FF2B5EF4-FFF2-40B4-BE49-F238E27FC236}">
              <a16:creationId xmlns:a16="http://schemas.microsoft.com/office/drawing/2014/main" id="{618C5063-BCCC-49C1-9D1B-4138E37C7C30}"/>
            </a:ext>
          </a:extLst>
        </xdr:cNvPr>
        <xdr:cNvGrpSpPr/>
      </xdr:nvGrpSpPr>
      <xdr:grpSpPr>
        <a:xfrm>
          <a:off x="64335" y="5226885"/>
          <a:ext cx="2781276" cy="2519447"/>
          <a:chOff x="77635" y="5406915"/>
          <a:chExt cx="2829628" cy="2158877"/>
        </a:xfrm>
      </xdr:grpSpPr>
      <xdr:graphicFrame macro="">
        <xdr:nvGraphicFramePr>
          <xdr:cNvPr id="52" name="Chart 12">
            <a:extLst>
              <a:ext uri="{FF2B5EF4-FFF2-40B4-BE49-F238E27FC236}">
                <a16:creationId xmlns:a16="http://schemas.microsoft.com/office/drawing/2014/main" id="{B21CDD71-2DE7-F53D-CEAA-60DD7DCC38B3}"/>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53" name="TextBox 13">
            <a:extLst>
              <a:ext uri="{FF2B5EF4-FFF2-40B4-BE49-F238E27FC236}">
                <a16:creationId xmlns:a16="http://schemas.microsoft.com/office/drawing/2014/main" id="{A983213D-5FD9-8FA9-7743-ACBA860236E5}"/>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CB012F-D205-4FF5-8E7F-C367745D3C1D}" type="TxLink">
              <a:rPr lang="en-US" sz="1000" b="1" i="0" u="none" strike="noStrike">
                <a:solidFill>
                  <a:srgbClr val="000000"/>
                </a:solidFill>
                <a:latin typeface="Aptos Narrow"/>
                <a:ea typeface="Calibri"/>
                <a:cs typeface="Calibri"/>
              </a:rPr>
              <a:pPr algn="ctr"/>
              <a:t>Funnel with 70%++ probabilty of winning</a:t>
            </a:fld>
            <a:endParaRPr lang="en-IN" sz="1800" b="1"/>
          </a:p>
        </xdr:txBody>
      </xdr:sp>
    </xdr:grpSp>
    <xdr:clientData/>
  </xdr:twoCellAnchor>
  <xdr:twoCellAnchor>
    <xdr:from>
      <xdr:col>1</xdr:col>
      <xdr:colOff>1522150</xdr:colOff>
      <xdr:row>25</xdr:row>
      <xdr:rowOff>34808</xdr:rowOff>
    </xdr:from>
    <xdr:to>
      <xdr:col>4</xdr:col>
      <xdr:colOff>705556</xdr:colOff>
      <xdr:row>39</xdr:row>
      <xdr:rowOff>7056</xdr:rowOff>
    </xdr:to>
    <xdr:grpSp>
      <xdr:nvGrpSpPr>
        <xdr:cNvPr id="111" name="Group 14">
          <a:extLst>
            <a:ext uri="{FF2B5EF4-FFF2-40B4-BE49-F238E27FC236}">
              <a16:creationId xmlns:a16="http://schemas.microsoft.com/office/drawing/2014/main" id="{000EFA9E-5A87-4A93-84A2-B15042963CE5}"/>
            </a:ext>
          </a:extLst>
        </xdr:cNvPr>
        <xdr:cNvGrpSpPr/>
      </xdr:nvGrpSpPr>
      <xdr:grpSpPr>
        <a:xfrm>
          <a:off x="2893750" y="5273558"/>
          <a:ext cx="3298206" cy="2505898"/>
          <a:chOff x="2905974" y="5419664"/>
          <a:chExt cx="3092518" cy="2147057"/>
        </a:xfrm>
      </xdr:grpSpPr>
      <xdr:graphicFrame macro="">
        <xdr:nvGraphicFramePr>
          <xdr:cNvPr id="112" name="Chart 15">
            <a:extLst>
              <a:ext uri="{FF2B5EF4-FFF2-40B4-BE49-F238E27FC236}">
                <a16:creationId xmlns:a16="http://schemas.microsoft.com/office/drawing/2014/main" id="{71F2507D-90C2-EC43-9787-B6031EBFF77E}"/>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113" name="TextBox 16">
            <a:extLst>
              <a:ext uri="{FF2B5EF4-FFF2-40B4-BE49-F238E27FC236}">
                <a16:creationId xmlns:a16="http://schemas.microsoft.com/office/drawing/2014/main" id="{C514A555-19BD-960D-F284-D2543CF4C65F}"/>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E457062-8F4D-4EB1-865F-8CC93956DEEA}" type="TxLink">
              <a:rPr lang="en-US" sz="1000" b="1" i="0" u="none" strike="noStrike">
                <a:solidFill>
                  <a:srgbClr val="000000"/>
                </a:solidFill>
                <a:latin typeface="Aptos Narrow"/>
                <a:ea typeface="Calibri"/>
                <a:cs typeface="Calibri"/>
              </a:rPr>
              <a:pPr algn="ctr"/>
              <a:t>Demo Utilization</a:t>
            </a:fld>
            <a:endParaRPr lang="en-IN" sz="1800" b="1"/>
          </a:p>
        </xdr:txBody>
      </xdr:sp>
    </xdr:grpSp>
    <xdr:clientData/>
  </xdr:twoCellAnchor>
  <xdr:twoCellAnchor>
    <xdr:from>
      <xdr:col>4</xdr:col>
      <xdr:colOff>841159</xdr:colOff>
      <xdr:row>25</xdr:row>
      <xdr:rowOff>26811</xdr:rowOff>
    </xdr:from>
    <xdr:to>
      <xdr:col>7</xdr:col>
      <xdr:colOff>283006</xdr:colOff>
      <xdr:row>38</xdr:row>
      <xdr:rowOff>176389</xdr:rowOff>
    </xdr:to>
    <xdr:grpSp>
      <xdr:nvGrpSpPr>
        <xdr:cNvPr id="75" name="Group 17">
          <a:extLst>
            <a:ext uri="{FF2B5EF4-FFF2-40B4-BE49-F238E27FC236}">
              <a16:creationId xmlns:a16="http://schemas.microsoft.com/office/drawing/2014/main" id="{D12C92EE-27BB-4249-AE1D-D6FD15EA053E}"/>
            </a:ext>
          </a:extLst>
        </xdr:cNvPr>
        <xdr:cNvGrpSpPr/>
      </xdr:nvGrpSpPr>
      <xdr:grpSpPr>
        <a:xfrm>
          <a:off x="6327559" y="5265561"/>
          <a:ext cx="2775597" cy="2502253"/>
          <a:chOff x="5810561" y="5397766"/>
          <a:chExt cx="2667443" cy="2269965"/>
        </a:xfrm>
      </xdr:grpSpPr>
      <xdr:graphicFrame macro="">
        <xdr:nvGraphicFramePr>
          <xdr:cNvPr id="76" name="Chart 18">
            <a:extLst>
              <a:ext uri="{FF2B5EF4-FFF2-40B4-BE49-F238E27FC236}">
                <a16:creationId xmlns:a16="http://schemas.microsoft.com/office/drawing/2014/main" id="{EB6FAB15-24F8-9E7E-99F2-4C25AC1165D5}"/>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77" name="TextBox 19">
            <a:extLst>
              <a:ext uri="{FF2B5EF4-FFF2-40B4-BE49-F238E27FC236}">
                <a16:creationId xmlns:a16="http://schemas.microsoft.com/office/drawing/2014/main" id="{8F81DBC8-908C-C87A-CE79-4D0019DB208B}"/>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9A793A-668E-4A2A-BFA9-5DDF03CF9A9C}" type="TxLink">
              <a:rPr lang="en-US" sz="1000" b="1" i="0" u="none" strike="noStrike">
                <a:solidFill>
                  <a:srgbClr val="000000"/>
                </a:solidFill>
                <a:latin typeface="Aptos Narrow"/>
                <a:ea typeface="Calibri"/>
                <a:cs typeface="Calibri"/>
              </a:rPr>
              <a:pPr algn="ctr"/>
              <a:t>Demo Refurb </a:t>
            </a:fld>
            <a:endParaRPr lang="en-IN" sz="1800" b="1"/>
          </a:p>
        </xdr:txBody>
      </xdr:sp>
    </xdr:grpSp>
    <xdr:clientData/>
  </xdr:twoCellAnchor>
  <xdr:twoCellAnchor>
    <xdr:from>
      <xdr:col>7</xdr:col>
      <xdr:colOff>371124</xdr:colOff>
      <xdr:row>25</xdr:row>
      <xdr:rowOff>31605</xdr:rowOff>
    </xdr:from>
    <xdr:to>
      <xdr:col>10</xdr:col>
      <xdr:colOff>326928</xdr:colOff>
      <xdr:row>38</xdr:row>
      <xdr:rowOff>162525</xdr:rowOff>
    </xdr:to>
    <xdr:grpSp>
      <xdr:nvGrpSpPr>
        <xdr:cNvPr id="129" name="Group 20">
          <a:extLst>
            <a:ext uri="{FF2B5EF4-FFF2-40B4-BE49-F238E27FC236}">
              <a16:creationId xmlns:a16="http://schemas.microsoft.com/office/drawing/2014/main" id="{D7DB2718-24F1-4F5D-9504-8271250EAF41}"/>
            </a:ext>
          </a:extLst>
        </xdr:cNvPr>
        <xdr:cNvGrpSpPr/>
      </xdr:nvGrpSpPr>
      <xdr:grpSpPr>
        <a:xfrm>
          <a:off x="9191274" y="5270355"/>
          <a:ext cx="2984754" cy="2483595"/>
          <a:chOff x="8567036" y="5412365"/>
          <a:chExt cx="2683519" cy="2171271"/>
        </a:xfrm>
      </xdr:grpSpPr>
      <xdr:graphicFrame macro="">
        <xdr:nvGraphicFramePr>
          <xdr:cNvPr id="130" name="Chart 21">
            <a:extLst>
              <a:ext uri="{FF2B5EF4-FFF2-40B4-BE49-F238E27FC236}">
                <a16:creationId xmlns:a16="http://schemas.microsoft.com/office/drawing/2014/main" id="{2CDC9502-767F-D4F8-052E-4A69CADC09E2}"/>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131" name="TextBox 22">
            <a:extLst>
              <a:ext uri="{FF2B5EF4-FFF2-40B4-BE49-F238E27FC236}">
                <a16:creationId xmlns:a16="http://schemas.microsoft.com/office/drawing/2014/main" id="{CDD58322-02E2-3C00-067E-A3FA12111591}"/>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5E9CFD7-D145-43D7-A2C4-42CA320C9BAA}" type="TxLink">
              <a:rPr lang="en-US" sz="1000" b="1" i="0" u="none" strike="noStrike">
                <a:solidFill>
                  <a:srgbClr val="000000"/>
                </a:solidFill>
                <a:latin typeface="Aptos Narrow"/>
                <a:ea typeface="Calibri"/>
                <a:cs typeface="Calibri"/>
              </a:rPr>
              <a:pPr algn="ctr"/>
              <a:t>Demo Win rate</a:t>
            </a:fld>
            <a:endParaRPr lang="en-IN" sz="1800" b="1"/>
          </a:p>
        </xdr:txBody>
      </xdr:sp>
    </xdr:grpSp>
    <xdr:clientData/>
  </xdr:twoCellAnchor>
  <xdr:twoCellAnchor>
    <xdr:from>
      <xdr:col>10</xdr:col>
      <xdr:colOff>416009</xdr:colOff>
      <xdr:row>25</xdr:row>
      <xdr:rowOff>37514</xdr:rowOff>
    </xdr:from>
    <xdr:to>
      <xdr:col>13</xdr:col>
      <xdr:colOff>536016</xdr:colOff>
      <xdr:row>38</xdr:row>
      <xdr:rowOff>166693</xdr:rowOff>
    </xdr:to>
    <xdr:grpSp>
      <xdr:nvGrpSpPr>
        <xdr:cNvPr id="198" name="Group 26">
          <a:extLst>
            <a:ext uri="{FF2B5EF4-FFF2-40B4-BE49-F238E27FC236}">
              <a16:creationId xmlns:a16="http://schemas.microsoft.com/office/drawing/2014/main" id="{E767F45B-D83B-415D-97DD-92AC3829540B}"/>
            </a:ext>
          </a:extLst>
        </xdr:cNvPr>
        <xdr:cNvGrpSpPr/>
      </xdr:nvGrpSpPr>
      <xdr:grpSpPr>
        <a:xfrm>
          <a:off x="12265109" y="5276264"/>
          <a:ext cx="3396607" cy="2481854"/>
          <a:chOff x="14383240" y="5433345"/>
          <a:chExt cx="2349106" cy="2083197"/>
        </a:xfrm>
      </xdr:grpSpPr>
      <xdr:graphicFrame macro="">
        <xdr:nvGraphicFramePr>
          <xdr:cNvPr id="199" name="Chart 27">
            <a:extLst>
              <a:ext uri="{FF2B5EF4-FFF2-40B4-BE49-F238E27FC236}">
                <a16:creationId xmlns:a16="http://schemas.microsoft.com/office/drawing/2014/main" id="{B36B6D3C-BC26-EB2C-B0C5-896514827421}"/>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10"/>
          </a:graphicData>
        </a:graphic>
      </xdr:graphicFrame>
      <xdr:sp macro="" textlink="$A$22">
        <xdr:nvSpPr>
          <xdr:cNvPr id="200" name="TextBox 28">
            <a:extLst>
              <a:ext uri="{FF2B5EF4-FFF2-40B4-BE49-F238E27FC236}">
                <a16:creationId xmlns:a16="http://schemas.microsoft.com/office/drawing/2014/main" id="{3552E53C-72C0-3CD9-E349-6BA11D085799}"/>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196A21C-2E9B-48A2-9AD4-4D00BE9DC3C1}" type="TxLink">
              <a:rPr lang="en-US" sz="1000" b="1" i="0" u="none" strike="noStrike">
                <a:solidFill>
                  <a:srgbClr val="000000"/>
                </a:solidFill>
                <a:latin typeface="Aptos Narrow"/>
                <a:ea typeface="Calibri"/>
                <a:cs typeface="Calibri"/>
              </a:rPr>
              <a:pPr algn="ctr"/>
              <a:t># of Demos</a:t>
            </a:fld>
            <a:endParaRPr lang="en-IN" sz="1800" b="1"/>
          </a:p>
        </xdr:txBody>
      </xdr:sp>
    </xdr:grpSp>
    <xdr:clientData/>
  </xdr:twoCellAnchor>
  <xdr:twoCellAnchor>
    <xdr:from>
      <xdr:col>0</xdr:col>
      <xdr:colOff>0</xdr:colOff>
      <xdr:row>64</xdr:row>
      <xdr:rowOff>23585</xdr:rowOff>
    </xdr:from>
    <xdr:to>
      <xdr:col>2</xdr:col>
      <xdr:colOff>1183765</xdr:colOff>
      <xdr:row>78</xdr:row>
      <xdr:rowOff>109753</xdr:rowOff>
    </xdr:to>
    <xdr:grpSp>
      <xdr:nvGrpSpPr>
        <xdr:cNvPr id="108" name="Group 29">
          <a:extLst>
            <a:ext uri="{FF2B5EF4-FFF2-40B4-BE49-F238E27FC236}">
              <a16:creationId xmlns:a16="http://schemas.microsoft.com/office/drawing/2014/main" id="{C5EFA0B2-ADA5-4273-AC0C-152E3888ED1D}"/>
            </a:ext>
          </a:extLst>
        </xdr:cNvPr>
        <xdr:cNvGrpSpPr/>
      </xdr:nvGrpSpPr>
      <xdr:grpSpPr>
        <a:xfrm>
          <a:off x="0" y="13539560"/>
          <a:ext cx="4079365"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109" name="Chart 30">
                <a:extLst>
                  <a:ext uri="{FF2B5EF4-FFF2-40B4-BE49-F238E27FC236}">
                    <a16:creationId xmlns:a16="http://schemas.microsoft.com/office/drawing/2014/main" id="{6649E9AB-62C2-BE2C-FAA9-3BE24F168C20}"/>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7">
        <xdr:nvSpPr>
          <xdr:cNvPr id="110" name="TextBox 31">
            <a:extLst>
              <a:ext uri="{FF2B5EF4-FFF2-40B4-BE49-F238E27FC236}">
                <a16:creationId xmlns:a16="http://schemas.microsoft.com/office/drawing/2014/main" id="{5441A415-0BE6-EC83-C752-E9E420C5728A}"/>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Sales</a:t>
            </a:fld>
            <a:endParaRPr lang="en-IN" sz="1600" b="1"/>
          </a:p>
        </xdr:txBody>
      </xdr:sp>
    </xdr:grpSp>
    <xdr:clientData/>
  </xdr:twoCellAnchor>
  <xdr:twoCellAnchor>
    <xdr:from>
      <xdr:col>2</xdr:col>
      <xdr:colOff>1249382</xdr:colOff>
      <xdr:row>63</xdr:row>
      <xdr:rowOff>257956</xdr:rowOff>
    </xdr:from>
    <xdr:to>
      <xdr:col>5</xdr:col>
      <xdr:colOff>932901</xdr:colOff>
      <xdr:row>78</xdr:row>
      <xdr:rowOff>125432</xdr:rowOff>
    </xdr:to>
    <xdr:grpSp>
      <xdr:nvGrpSpPr>
        <xdr:cNvPr id="114" name="Group 32">
          <a:extLst>
            <a:ext uri="{FF2B5EF4-FFF2-40B4-BE49-F238E27FC236}">
              <a16:creationId xmlns:a16="http://schemas.microsoft.com/office/drawing/2014/main" id="{2F1A8D3F-ED51-43C3-BFC8-FB785AE8613D}"/>
            </a:ext>
          </a:extLst>
        </xdr:cNvPr>
        <xdr:cNvGrpSpPr/>
      </xdr:nvGrpSpPr>
      <xdr:grpSpPr>
        <a:xfrm>
          <a:off x="4144982" y="13516756"/>
          <a:ext cx="3645919" cy="2658301"/>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115" name="Chart 33">
                <a:extLst>
                  <a:ext uri="{FF2B5EF4-FFF2-40B4-BE49-F238E27FC236}">
                    <a16:creationId xmlns:a16="http://schemas.microsoft.com/office/drawing/2014/main" id="{4EE4D29D-0713-72E5-FD28-5D652645701B}"/>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0">
        <xdr:nvSpPr>
          <xdr:cNvPr id="116" name="TextBox 34">
            <a:extLst>
              <a:ext uri="{FF2B5EF4-FFF2-40B4-BE49-F238E27FC236}">
                <a16:creationId xmlns:a16="http://schemas.microsoft.com/office/drawing/2014/main" id="{5C28C88B-F588-E356-A792-7515488B48FC}"/>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 </a:t>
            </a:fld>
            <a:endParaRPr lang="en-IN" sz="1600" b="1"/>
          </a:p>
        </xdr:txBody>
      </xdr:sp>
    </xdr:grpSp>
    <xdr:clientData/>
  </xdr:twoCellAnchor>
  <xdr:twoCellAnchor>
    <xdr:from>
      <xdr:col>5</xdr:col>
      <xdr:colOff>1003064</xdr:colOff>
      <xdr:row>64</xdr:row>
      <xdr:rowOff>15312</xdr:rowOff>
    </xdr:from>
    <xdr:to>
      <xdr:col>9</xdr:col>
      <xdr:colOff>611482</xdr:colOff>
      <xdr:row>78</xdr:row>
      <xdr:rowOff>125432</xdr:rowOff>
    </xdr:to>
    <xdr:grpSp>
      <xdr:nvGrpSpPr>
        <xdr:cNvPr id="117" name="Group 35">
          <a:extLst>
            <a:ext uri="{FF2B5EF4-FFF2-40B4-BE49-F238E27FC236}">
              <a16:creationId xmlns:a16="http://schemas.microsoft.com/office/drawing/2014/main" id="{1F5B4A0B-2862-4D94-ADDD-148D1B2A5390}"/>
            </a:ext>
          </a:extLst>
        </xdr:cNvPr>
        <xdr:cNvGrpSpPr/>
      </xdr:nvGrpSpPr>
      <xdr:grpSpPr>
        <a:xfrm>
          <a:off x="7861064" y="13531287"/>
          <a:ext cx="3504143"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18" name="Chart 36">
                <a:extLst>
                  <a:ext uri="{FF2B5EF4-FFF2-40B4-BE49-F238E27FC236}">
                    <a16:creationId xmlns:a16="http://schemas.microsoft.com/office/drawing/2014/main" id="{D370729C-3B0C-72D0-1BD1-0A5C4F7A0D26}"/>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3">
        <xdr:nvSpPr>
          <xdr:cNvPr id="119" name="TextBox 37">
            <a:extLst>
              <a:ext uri="{FF2B5EF4-FFF2-40B4-BE49-F238E27FC236}">
                <a16:creationId xmlns:a16="http://schemas.microsoft.com/office/drawing/2014/main" id="{4C4544CB-A823-D65D-2E14-6ACC992D6226}"/>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9</xdr:col>
      <xdr:colOff>658518</xdr:colOff>
      <xdr:row>63</xdr:row>
      <xdr:rowOff>266376</xdr:rowOff>
    </xdr:from>
    <xdr:to>
      <xdr:col>13</xdr:col>
      <xdr:colOff>7762</xdr:colOff>
      <xdr:row>78</xdr:row>
      <xdr:rowOff>94074</xdr:rowOff>
    </xdr:to>
    <xdr:grpSp>
      <xdr:nvGrpSpPr>
        <xdr:cNvPr id="120" name="Group 38">
          <a:extLst>
            <a:ext uri="{FF2B5EF4-FFF2-40B4-BE49-F238E27FC236}">
              <a16:creationId xmlns:a16="http://schemas.microsoft.com/office/drawing/2014/main" id="{8954B4BE-9988-4C7F-8590-550E25F117DD}"/>
            </a:ext>
          </a:extLst>
        </xdr:cNvPr>
        <xdr:cNvGrpSpPr/>
      </xdr:nvGrpSpPr>
      <xdr:grpSpPr>
        <a:xfrm>
          <a:off x="11412243" y="13515651"/>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121" name="Chart 39">
                <a:extLst>
                  <a:ext uri="{FF2B5EF4-FFF2-40B4-BE49-F238E27FC236}">
                    <a16:creationId xmlns:a16="http://schemas.microsoft.com/office/drawing/2014/main" id="{C94372CF-C298-BBFF-84F9-FA090631E3D6}"/>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6">
        <xdr:nvSpPr>
          <xdr:cNvPr id="122" name="TextBox 40">
            <a:extLst>
              <a:ext uri="{FF2B5EF4-FFF2-40B4-BE49-F238E27FC236}">
                <a16:creationId xmlns:a16="http://schemas.microsoft.com/office/drawing/2014/main" id="{E0ED15D3-8F03-3E07-588E-07A588C2AAB4}"/>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13</xdr:col>
      <xdr:colOff>54876</xdr:colOff>
      <xdr:row>63</xdr:row>
      <xdr:rowOff>233461</xdr:rowOff>
    </xdr:from>
    <xdr:to>
      <xdr:col>16</xdr:col>
      <xdr:colOff>266543</xdr:colOff>
      <xdr:row>78</xdr:row>
      <xdr:rowOff>94074</xdr:rowOff>
    </xdr:to>
    <xdr:grpSp>
      <xdr:nvGrpSpPr>
        <xdr:cNvPr id="126" name="Group 41">
          <a:extLst>
            <a:ext uri="{FF2B5EF4-FFF2-40B4-BE49-F238E27FC236}">
              <a16:creationId xmlns:a16="http://schemas.microsoft.com/office/drawing/2014/main" id="{C01A8753-91F4-4179-88AE-52BA585AD0B6}"/>
            </a:ext>
          </a:extLst>
        </xdr:cNvPr>
        <xdr:cNvGrpSpPr/>
      </xdr:nvGrpSpPr>
      <xdr:grpSpPr>
        <a:xfrm>
          <a:off x="15180576" y="13511311"/>
          <a:ext cx="3583517" cy="2632388"/>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127" name="Chart 42">
                <a:extLst>
                  <a:ext uri="{FF2B5EF4-FFF2-40B4-BE49-F238E27FC236}">
                    <a16:creationId xmlns:a16="http://schemas.microsoft.com/office/drawing/2014/main" id="{48688C06-E4DC-4344-5A8E-72BEB3F1DF50}"/>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9">
        <xdr:nvSpPr>
          <xdr:cNvPr id="128" name="TextBox 43">
            <a:extLst>
              <a:ext uri="{FF2B5EF4-FFF2-40B4-BE49-F238E27FC236}">
                <a16:creationId xmlns:a16="http://schemas.microsoft.com/office/drawing/2014/main" id="{B8B59561-ABA6-E80E-1971-C02EB5C649E2}"/>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63</xdr:row>
      <xdr:rowOff>232552</xdr:rowOff>
    </xdr:from>
    <xdr:to>
      <xdr:col>20</xdr:col>
      <xdr:colOff>31358</xdr:colOff>
      <xdr:row>78</xdr:row>
      <xdr:rowOff>117593</xdr:rowOff>
    </xdr:to>
    <xdr:grpSp>
      <xdr:nvGrpSpPr>
        <xdr:cNvPr id="123" name="Group 44">
          <a:extLst>
            <a:ext uri="{FF2B5EF4-FFF2-40B4-BE49-F238E27FC236}">
              <a16:creationId xmlns:a16="http://schemas.microsoft.com/office/drawing/2014/main" id="{7034E2DC-1BEA-4133-B64C-B98475CA9ACF}"/>
            </a:ext>
          </a:extLst>
        </xdr:cNvPr>
        <xdr:cNvGrpSpPr/>
      </xdr:nvGrpSpPr>
      <xdr:grpSpPr>
        <a:xfrm>
          <a:off x="18826810" y="13519927"/>
          <a:ext cx="3569248" cy="26472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24" name="Chart 45">
                <a:extLst>
                  <a:ext uri="{FF2B5EF4-FFF2-40B4-BE49-F238E27FC236}">
                    <a16:creationId xmlns:a16="http://schemas.microsoft.com/office/drawing/2014/main" id="{0150D8D6-7CF9-2200-6F23-BC2CDD438645}"/>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2">
        <xdr:nvSpPr>
          <xdr:cNvPr id="125" name="TextBox 46">
            <a:extLst>
              <a:ext uri="{FF2B5EF4-FFF2-40B4-BE49-F238E27FC236}">
                <a16:creationId xmlns:a16="http://schemas.microsoft.com/office/drawing/2014/main" id="{C719F1E8-E67D-0ADC-8B3C-C14EB1922DDC}"/>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wsDr>
</file>

<file path=xl/drawings/drawing11.xml><?xml version="1.0" encoding="utf-8"?>
<xdr:wsDr xmlns:xdr="http://schemas.openxmlformats.org/drawingml/2006/spreadsheetDrawing" xmlns:a="http://schemas.openxmlformats.org/drawingml/2006/main">
  <xdr:oneCellAnchor>
    <xdr:from>
      <xdr:col>2</xdr:col>
      <xdr:colOff>0</xdr:colOff>
      <xdr:row>104</xdr:row>
      <xdr:rowOff>0</xdr:rowOff>
    </xdr:from>
    <xdr:ext cx="168910" cy="457200"/>
    <xdr:sp macro="" textlink="">
      <xdr:nvSpPr>
        <xdr:cNvPr id="2" name="Text Box 9">
          <a:extLst>
            <a:ext uri="{FF2B5EF4-FFF2-40B4-BE49-F238E27FC236}">
              <a16:creationId xmlns:a16="http://schemas.microsoft.com/office/drawing/2014/main" id="{C4A1A2D8-011B-4CD3-8CE3-A0CF3EFBB62C}"/>
            </a:ext>
          </a:extLst>
        </xdr:cNvPr>
        <xdr:cNvSpPr txBox="1">
          <a:spLocks noChangeArrowheads="1"/>
        </xdr:cNvSpPr>
      </xdr:nvSpPr>
      <xdr:spPr bwMode="auto">
        <a:xfrm>
          <a:off x="4019550" y="2205990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104</xdr:row>
      <xdr:rowOff>0</xdr:rowOff>
    </xdr:from>
    <xdr:ext cx="167005" cy="457200"/>
    <xdr:sp macro="" textlink="">
      <xdr:nvSpPr>
        <xdr:cNvPr id="3" name="Text Box 13">
          <a:extLst>
            <a:ext uri="{FF2B5EF4-FFF2-40B4-BE49-F238E27FC236}">
              <a16:creationId xmlns:a16="http://schemas.microsoft.com/office/drawing/2014/main" id="{AD5914C9-5543-49B2-A91C-7B17CAE070D3}"/>
            </a:ext>
          </a:extLst>
        </xdr:cNvPr>
        <xdr:cNvSpPr txBox="1">
          <a:spLocks noChangeArrowheads="1"/>
        </xdr:cNvSpPr>
      </xdr:nvSpPr>
      <xdr:spPr bwMode="auto">
        <a:xfrm>
          <a:off x="11480800" y="2205990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104</xdr:row>
      <xdr:rowOff>0</xdr:rowOff>
    </xdr:from>
    <xdr:ext cx="167005" cy="457200"/>
    <xdr:sp macro="" textlink="">
      <xdr:nvSpPr>
        <xdr:cNvPr id="4" name="Text Box 13">
          <a:extLst>
            <a:ext uri="{FF2B5EF4-FFF2-40B4-BE49-F238E27FC236}">
              <a16:creationId xmlns:a16="http://schemas.microsoft.com/office/drawing/2014/main" id="{F8DE29B4-6650-4606-B785-5BEC0EC97D14}"/>
            </a:ext>
          </a:extLst>
        </xdr:cNvPr>
        <xdr:cNvSpPr txBox="1">
          <a:spLocks noChangeArrowheads="1"/>
        </xdr:cNvSpPr>
      </xdr:nvSpPr>
      <xdr:spPr bwMode="auto">
        <a:xfrm>
          <a:off x="11480800" y="2205990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104</xdr:row>
      <xdr:rowOff>0</xdr:rowOff>
    </xdr:from>
    <xdr:ext cx="152400" cy="457200"/>
    <xdr:sp macro="" textlink="">
      <xdr:nvSpPr>
        <xdr:cNvPr id="5" name="Text Box 13">
          <a:extLst>
            <a:ext uri="{FF2B5EF4-FFF2-40B4-BE49-F238E27FC236}">
              <a16:creationId xmlns:a16="http://schemas.microsoft.com/office/drawing/2014/main" id="{4A5E0E2F-3F89-4DD7-B151-1F2F6D67885F}"/>
            </a:ext>
          </a:extLst>
        </xdr:cNvPr>
        <xdr:cNvSpPr txBox="1">
          <a:spLocks noChangeArrowheads="1"/>
        </xdr:cNvSpPr>
      </xdr:nvSpPr>
      <xdr:spPr bwMode="auto">
        <a:xfrm>
          <a:off x="11460534" y="2205990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104</xdr:row>
      <xdr:rowOff>0</xdr:rowOff>
    </xdr:from>
    <xdr:ext cx="168910" cy="457200"/>
    <xdr:sp macro="" textlink="">
      <xdr:nvSpPr>
        <xdr:cNvPr id="6" name="Text Box 9">
          <a:extLst>
            <a:ext uri="{FF2B5EF4-FFF2-40B4-BE49-F238E27FC236}">
              <a16:creationId xmlns:a16="http://schemas.microsoft.com/office/drawing/2014/main" id="{BD3A5A1E-678B-41A3-BCB3-BE8A5566BF02}"/>
            </a:ext>
          </a:extLst>
        </xdr:cNvPr>
        <xdr:cNvSpPr txBox="1">
          <a:spLocks noChangeArrowheads="1"/>
        </xdr:cNvSpPr>
      </xdr:nvSpPr>
      <xdr:spPr bwMode="auto">
        <a:xfrm>
          <a:off x="4050153" y="2205990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101</xdr:row>
      <xdr:rowOff>10092</xdr:rowOff>
    </xdr:from>
    <xdr:to>
      <xdr:col>2</xdr:col>
      <xdr:colOff>200024</xdr:colOff>
      <xdr:row>101</xdr:row>
      <xdr:rowOff>149302</xdr:rowOff>
    </xdr:to>
    <xdr:pic>
      <xdr:nvPicPr>
        <xdr:cNvPr id="7" name="Picture 6">
          <a:extLst>
            <a:ext uri="{FF2B5EF4-FFF2-40B4-BE49-F238E27FC236}">
              <a16:creationId xmlns:a16="http://schemas.microsoft.com/office/drawing/2014/main" id="{6DBF6067-EE4C-4347-91AA-9742C95AEC66}"/>
            </a:ext>
          </a:extLst>
        </xdr:cNvPr>
        <xdr:cNvPicPr>
          <a:picLocks noChangeAspect="1"/>
        </xdr:cNvPicPr>
      </xdr:nvPicPr>
      <xdr:blipFill>
        <a:blip xmlns:r="http://schemas.openxmlformats.org/officeDocument/2006/relationships" r:embed="rId1"/>
        <a:stretch>
          <a:fillRect/>
        </a:stretch>
      </xdr:blipFill>
      <xdr:spPr>
        <a:xfrm>
          <a:off x="4057650" y="21517542"/>
          <a:ext cx="161924" cy="139210"/>
        </a:xfrm>
        <a:prstGeom prst="rect">
          <a:avLst/>
        </a:prstGeom>
      </xdr:spPr>
    </xdr:pic>
    <xdr:clientData/>
  </xdr:twoCellAnchor>
  <xdr:twoCellAnchor editAs="oneCell">
    <xdr:from>
      <xdr:col>3</xdr:col>
      <xdr:colOff>13710</xdr:colOff>
      <xdr:row>101</xdr:row>
      <xdr:rowOff>13986</xdr:rowOff>
    </xdr:from>
    <xdr:to>
      <xdr:col>8</xdr:col>
      <xdr:colOff>140612</xdr:colOff>
      <xdr:row>101</xdr:row>
      <xdr:rowOff>162886</xdr:rowOff>
    </xdr:to>
    <xdr:pic>
      <xdr:nvPicPr>
        <xdr:cNvPr id="8" name="Picture 7">
          <a:extLst>
            <a:ext uri="{FF2B5EF4-FFF2-40B4-BE49-F238E27FC236}">
              <a16:creationId xmlns:a16="http://schemas.microsoft.com/office/drawing/2014/main" id="{62CF8805-3363-47C7-B99B-8809DF044B4F}"/>
            </a:ext>
          </a:extLst>
        </xdr:cNvPr>
        <xdr:cNvPicPr>
          <a:picLocks noChangeAspect="1"/>
        </xdr:cNvPicPr>
      </xdr:nvPicPr>
      <xdr:blipFill>
        <a:blip xmlns:r="http://schemas.openxmlformats.org/officeDocument/2006/relationships" r:embed="rId2"/>
        <a:stretch>
          <a:fillRect/>
        </a:stretch>
      </xdr:blipFill>
      <xdr:spPr>
        <a:xfrm>
          <a:off x="5449310" y="21521436"/>
          <a:ext cx="140612" cy="148900"/>
        </a:xfrm>
        <a:prstGeom prst="rect">
          <a:avLst/>
        </a:prstGeom>
      </xdr:spPr>
    </xdr:pic>
    <xdr:clientData/>
  </xdr:twoCellAnchor>
  <xdr:twoCellAnchor editAs="oneCell">
    <xdr:from>
      <xdr:col>4</xdr:col>
      <xdr:colOff>44450</xdr:colOff>
      <xdr:row>101</xdr:row>
      <xdr:rowOff>19130</xdr:rowOff>
    </xdr:from>
    <xdr:to>
      <xdr:col>8</xdr:col>
      <xdr:colOff>174625</xdr:colOff>
      <xdr:row>102</xdr:row>
      <xdr:rowOff>898</xdr:rowOff>
    </xdr:to>
    <xdr:pic>
      <xdr:nvPicPr>
        <xdr:cNvPr id="9" name="Picture 8">
          <a:extLst>
            <a:ext uri="{FF2B5EF4-FFF2-40B4-BE49-F238E27FC236}">
              <a16:creationId xmlns:a16="http://schemas.microsoft.com/office/drawing/2014/main" id="{F87BCCB8-B0F4-431B-AFF4-6C8E1AB47333}"/>
            </a:ext>
          </a:extLst>
        </xdr:cNvPr>
        <xdr:cNvPicPr>
          <a:picLocks noChangeAspect="1"/>
        </xdr:cNvPicPr>
      </xdr:nvPicPr>
      <xdr:blipFill>
        <a:blip xmlns:r="http://schemas.openxmlformats.org/officeDocument/2006/relationships" r:embed="rId3"/>
        <a:stretch>
          <a:fillRect/>
        </a:stretch>
      </xdr:blipFill>
      <xdr:spPr>
        <a:xfrm flipV="1">
          <a:off x="6858000" y="21526580"/>
          <a:ext cx="174625" cy="165918"/>
        </a:xfrm>
        <a:prstGeom prst="rect">
          <a:avLst/>
        </a:prstGeom>
      </xdr:spPr>
    </xdr:pic>
    <xdr:clientData/>
  </xdr:twoCellAnchor>
  <xdr:oneCellAnchor>
    <xdr:from>
      <xdr:col>1</xdr:col>
      <xdr:colOff>20248</xdr:colOff>
      <xdr:row>101</xdr:row>
      <xdr:rowOff>8127</xdr:rowOff>
    </xdr:from>
    <xdr:ext cx="199069" cy="170387"/>
    <xdr:pic>
      <xdr:nvPicPr>
        <xdr:cNvPr id="10" name="Picture 9">
          <a:extLst>
            <a:ext uri="{FF2B5EF4-FFF2-40B4-BE49-F238E27FC236}">
              <a16:creationId xmlns:a16="http://schemas.microsoft.com/office/drawing/2014/main" id="{9529A475-C278-4112-AF94-98161E574944}"/>
            </a:ext>
          </a:extLst>
        </xdr:cNvPr>
        <xdr:cNvPicPr>
          <a:picLocks noChangeAspect="1"/>
        </xdr:cNvPicPr>
      </xdr:nvPicPr>
      <xdr:blipFill>
        <a:blip xmlns:r="http://schemas.openxmlformats.org/officeDocument/2006/relationships" r:embed="rId4"/>
        <a:stretch>
          <a:fillRect/>
        </a:stretch>
      </xdr:blipFill>
      <xdr:spPr>
        <a:xfrm>
          <a:off x="1436298" y="21515577"/>
          <a:ext cx="199069" cy="170387"/>
        </a:xfrm>
        <a:prstGeom prst="rect">
          <a:avLst/>
        </a:prstGeom>
      </xdr:spPr>
    </xdr:pic>
    <xdr:clientData/>
  </xdr:oneCellAnchor>
  <xdr:twoCellAnchor editAs="oneCell">
    <xdr:from>
      <xdr:col>0</xdr:col>
      <xdr:colOff>0</xdr:colOff>
      <xdr:row>101</xdr:row>
      <xdr:rowOff>7863</xdr:rowOff>
    </xdr:from>
    <xdr:to>
      <xdr:col>0</xdr:col>
      <xdr:colOff>208786</xdr:colOff>
      <xdr:row>102</xdr:row>
      <xdr:rowOff>248</xdr:rowOff>
    </xdr:to>
    <xdr:pic>
      <xdr:nvPicPr>
        <xdr:cNvPr id="11" name="Picture 10">
          <a:extLst>
            <a:ext uri="{FF2B5EF4-FFF2-40B4-BE49-F238E27FC236}">
              <a16:creationId xmlns:a16="http://schemas.microsoft.com/office/drawing/2014/main" id="{D2308897-0DE1-4EA4-BD3F-560BC3D6E22C}"/>
            </a:ext>
          </a:extLst>
        </xdr:cNvPr>
        <xdr:cNvPicPr>
          <a:picLocks noChangeAspect="1"/>
        </xdr:cNvPicPr>
      </xdr:nvPicPr>
      <xdr:blipFill>
        <a:blip xmlns:r="http://schemas.openxmlformats.org/officeDocument/2006/relationships" r:embed="rId5"/>
        <a:stretch>
          <a:fillRect/>
        </a:stretch>
      </xdr:blipFill>
      <xdr:spPr>
        <a:xfrm>
          <a:off x="0" y="21515313"/>
          <a:ext cx="208786" cy="176535"/>
        </a:xfrm>
        <a:prstGeom prst="rect">
          <a:avLst/>
        </a:prstGeom>
      </xdr:spPr>
    </xdr:pic>
    <xdr:clientData/>
  </xdr:twoCellAnchor>
  <xdr:twoCellAnchor>
    <xdr:from>
      <xdr:col>0</xdr:col>
      <xdr:colOff>50321</xdr:colOff>
      <xdr:row>27</xdr:row>
      <xdr:rowOff>52629</xdr:rowOff>
    </xdr:from>
    <xdr:to>
      <xdr:col>1</xdr:col>
      <xdr:colOff>2131209</xdr:colOff>
      <xdr:row>41</xdr:row>
      <xdr:rowOff>121304</xdr:rowOff>
    </xdr:to>
    <xdr:grpSp>
      <xdr:nvGrpSpPr>
        <xdr:cNvPr id="67" name="Group 11">
          <a:extLst>
            <a:ext uri="{FF2B5EF4-FFF2-40B4-BE49-F238E27FC236}">
              <a16:creationId xmlns:a16="http://schemas.microsoft.com/office/drawing/2014/main" id="{845D07B7-C5C3-4033-A260-AA377508A8D5}"/>
            </a:ext>
          </a:extLst>
        </xdr:cNvPr>
        <xdr:cNvGrpSpPr/>
      </xdr:nvGrpSpPr>
      <xdr:grpSpPr>
        <a:xfrm>
          <a:off x="50321" y="5643804"/>
          <a:ext cx="3442963" cy="2602325"/>
          <a:chOff x="2918783" y="5435389"/>
          <a:chExt cx="3092518" cy="2147057"/>
        </a:xfrm>
      </xdr:grpSpPr>
      <xdr:graphicFrame macro="">
        <xdr:nvGraphicFramePr>
          <xdr:cNvPr id="68" name="Chart 12">
            <a:extLst>
              <a:ext uri="{FF2B5EF4-FFF2-40B4-BE49-F238E27FC236}">
                <a16:creationId xmlns:a16="http://schemas.microsoft.com/office/drawing/2014/main" id="{FEC7E49E-19C3-6071-87B5-4F41791962F8}"/>
              </a:ext>
            </a:extLst>
          </xdr:cNvPr>
          <xdr:cNvGraphicFramePr/>
        </xdr:nvGraphicFramePr>
        <xdr:xfrm>
          <a:off x="2918783" y="5435389"/>
          <a:ext cx="3092518" cy="214705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69" name="TextBox 13">
            <a:extLst>
              <a:ext uri="{FF2B5EF4-FFF2-40B4-BE49-F238E27FC236}">
                <a16:creationId xmlns:a16="http://schemas.microsoft.com/office/drawing/2014/main" id="{E2BF56E0-E390-9CA3-7C40-2005E33C0FD1}"/>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2ADEB5-CFDF-4E29-9D32-B9FBC5143B61}" type="TxLink">
              <a:rPr lang="en-US" sz="1100" b="1" i="0" u="none" strike="noStrike">
                <a:solidFill>
                  <a:srgbClr val="000000"/>
                </a:solidFill>
                <a:latin typeface="Aptos Narrow"/>
                <a:ea typeface="Calibri"/>
                <a:cs typeface="Calibri"/>
              </a:rPr>
              <a:pPr algn="ctr"/>
              <a:t>Funnel Coverage</a:t>
            </a:fld>
            <a:endParaRPr lang="en-IN" sz="2400" b="1"/>
          </a:p>
        </xdr:txBody>
      </xdr:sp>
    </xdr:grpSp>
    <xdr:clientData/>
  </xdr:twoCellAnchor>
  <xdr:twoCellAnchor>
    <xdr:from>
      <xdr:col>1</xdr:col>
      <xdr:colOff>2219346</xdr:colOff>
      <xdr:row>27</xdr:row>
      <xdr:rowOff>28380</xdr:rowOff>
    </xdr:from>
    <xdr:to>
      <xdr:col>4</xdr:col>
      <xdr:colOff>368456</xdr:colOff>
      <xdr:row>41</xdr:row>
      <xdr:rowOff>117593</xdr:rowOff>
    </xdr:to>
    <xdr:grpSp>
      <xdr:nvGrpSpPr>
        <xdr:cNvPr id="30" name="Group 14">
          <a:extLst>
            <a:ext uri="{FF2B5EF4-FFF2-40B4-BE49-F238E27FC236}">
              <a16:creationId xmlns:a16="http://schemas.microsoft.com/office/drawing/2014/main" id="{43C5046E-61D5-4B24-AA10-A668408CA17A}"/>
            </a:ext>
          </a:extLst>
        </xdr:cNvPr>
        <xdr:cNvGrpSpPr/>
      </xdr:nvGrpSpPr>
      <xdr:grpSpPr>
        <a:xfrm>
          <a:off x="3581421" y="5619555"/>
          <a:ext cx="1638279" cy="2622863"/>
          <a:chOff x="5810561" y="5397766"/>
          <a:chExt cx="2667443" cy="2269965"/>
        </a:xfrm>
      </xdr:grpSpPr>
      <xdr:graphicFrame macro="">
        <xdr:nvGraphicFramePr>
          <xdr:cNvPr id="31" name="Chart 15">
            <a:extLst>
              <a:ext uri="{FF2B5EF4-FFF2-40B4-BE49-F238E27FC236}">
                <a16:creationId xmlns:a16="http://schemas.microsoft.com/office/drawing/2014/main" id="{9C898E0F-043D-1CBB-AB4F-144807C0286F}"/>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32" name="TextBox 16">
            <a:extLst>
              <a:ext uri="{FF2B5EF4-FFF2-40B4-BE49-F238E27FC236}">
                <a16:creationId xmlns:a16="http://schemas.microsoft.com/office/drawing/2014/main" id="{FA40F7C3-02A3-1667-EE64-16F9B1C9186C}"/>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1711E19-8230-4BDA-9D4D-EA2088301917}" type="TxLink">
              <a:rPr lang="en-US" sz="1100" b="1" i="0" u="none" strike="noStrike">
                <a:solidFill>
                  <a:srgbClr val="000000"/>
                </a:solidFill>
                <a:latin typeface="Aptos Narrow"/>
                <a:ea typeface="Calibri"/>
                <a:cs typeface="Calibri"/>
              </a:rPr>
              <a:pPr algn="ctr"/>
              <a:t># Of Demos</a:t>
            </a:fld>
            <a:endParaRPr lang="en-IN" sz="2400" b="1"/>
          </a:p>
        </xdr:txBody>
      </xdr:sp>
    </xdr:grpSp>
    <xdr:clientData/>
  </xdr:twoCellAnchor>
  <xdr:twoCellAnchor>
    <xdr:from>
      <xdr:col>4</xdr:col>
      <xdr:colOff>462822</xdr:colOff>
      <xdr:row>27</xdr:row>
      <xdr:rowOff>31357</xdr:rowOff>
    </xdr:from>
    <xdr:to>
      <xdr:col>7</xdr:col>
      <xdr:colOff>777872</xdr:colOff>
      <xdr:row>41</xdr:row>
      <xdr:rowOff>133272</xdr:rowOff>
    </xdr:to>
    <xdr:grpSp>
      <xdr:nvGrpSpPr>
        <xdr:cNvPr id="18" name="Group 17">
          <a:extLst>
            <a:ext uri="{FF2B5EF4-FFF2-40B4-BE49-F238E27FC236}">
              <a16:creationId xmlns:a16="http://schemas.microsoft.com/office/drawing/2014/main" id="{F70C9BCE-723C-401B-881D-6920F03C6739}"/>
            </a:ext>
          </a:extLst>
        </xdr:cNvPr>
        <xdr:cNvGrpSpPr/>
      </xdr:nvGrpSpPr>
      <xdr:grpSpPr>
        <a:xfrm>
          <a:off x="5219700" y="5622532"/>
          <a:ext cx="0" cy="2635565"/>
          <a:chOff x="8567036" y="5412365"/>
          <a:chExt cx="2683519" cy="2171271"/>
        </a:xfrm>
      </xdr:grpSpPr>
      <xdr:graphicFrame macro="">
        <xdr:nvGraphicFramePr>
          <xdr:cNvPr id="19" name="Chart 18">
            <a:extLst>
              <a:ext uri="{FF2B5EF4-FFF2-40B4-BE49-F238E27FC236}">
                <a16:creationId xmlns:a16="http://schemas.microsoft.com/office/drawing/2014/main" id="{F90AF71A-AB87-EE1F-88B9-1B1CFEF9D89C}"/>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20" name="TextBox 19">
            <a:extLst>
              <a:ext uri="{FF2B5EF4-FFF2-40B4-BE49-F238E27FC236}">
                <a16:creationId xmlns:a16="http://schemas.microsoft.com/office/drawing/2014/main" id="{3FA7AD4E-97D6-2CB9-9EE8-0AA0C2118C9E}"/>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8CB6650-2644-4C1D-ADF7-E9993E8F78EA}" type="TxLink">
              <a:rPr lang="en-US" sz="1100" b="1" i="0" u="none" strike="noStrike">
                <a:solidFill>
                  <a:srgbClr val="000000"/>
                </a:solidFill>
                <a:latin typeface="Aptos Narrow"/>
                <a:ea typeface="Calibri"/>
                <a:cs typeface="Calibri"/>
              </a:rPr>
              <a:pPr algn="ctr"/>
              <a:t>Demo Winrate</a:t>
            </a:fld>
            <a:endParaRPr lang="en-IN" sz="2400" b="1"/>
          </a:p>
        </xdr:txBody>
      </xdr:sp>
    </xdr:grpSp>
    <xdr:clientData/>
  </xdr:twoCellAnchor>
  <xdr:twoCellAnchor>
    <xdr:from>
      <xdr:col>7</xdr:col>
      <xdr:colOff>837270</xdr:colOff>
      <xdr:row>27</xdr:row>
      <xdr:rowOff>20540</xdr:rowOff>
    </xdr:from>
    <xdr:to>
      <xdr:col>11</xdr:col>
      <xdr:colOff>432037</xdr:colOff>
      <xdr:row>41</xdr:row>
      <xdr:rowOff>158653</xdr:rowOff>
    </xdr:to>
    <xdr:grpSp>
      <xdr:nvGrpSpPr>
        <xdr:cNvPr id="21" name="Group 20">
          <a:extLst>
            <a:ext uri="{FF2B5EF4-FFF2-40B4-BE49-F238E27FC236}">
              <a16:creationId xmlns:a16="http://schemas.microsoft.com/office/drawing/2014/main" id="{6B2A82C6-5F27-486A-93CE-063B4651D84C}"/>
            </a:ext>
          </a:extLst>
        </xdr:cNvPr>
        <xdr:cNvGrpSpPr/>
      </xdr:nvGrpSpPr>
      <xdr:grpSpPr>
        <a:xfrm>
          <a:off x="5219700" y="5611715"/>
          <a:ext cx="3689587" cy="2671763"/>
          <a:chOff x="11292890" y="5778019"/>
          <a:chExt cx="2950193" cy="2149373"/>
        </a:xfrm>
      </xdr:grpSpPr>
      <xdr:graphicFrame macro="">
        <xdr:nvGraphicFramePr>
          <xdr:cNvPr id="22" name="Chart 21">
            <a:extLst>
              <a:ext uri="{FF2B5EF4-FFF2-40B4-BE49-F238E27FC236}">
                <a16:creationId xmlns:a16="http://schemas.microsoft.com/office/drawing/2014/main" id="{1EF40B8C-6B76-FB6E-D2EF-E0A828F29095}"/>
              </a:ext>
            </a:extLst>
          </xdr:cNvPr>
          <xdr:cNvGraphicFramePr/>
        </xdr:nvGraphicFramePr>
        <xdr:xfrm>
          <a:off x="11292890" y="5778019"/>
          <a:ext cx="2950193" cy="2149373"/>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23" name="TextBox 22">
            <a:extLst>
              <a:ext uri="{FF2B5EF4-FFF2-40B4-BE49-F238E27FC236}">
                <a16:creationId xmlns:a16="http://schemas.microsoft.com/office/drawing/2014/main" id="{3AF4F5D4-7C51-8CF6-A0F1-9241B6B43FB5}"/>
              </a:ext>
            </a:extLst>
          </xdr:cNvPr>
          <xdr:cNvSpPr txBox="1"/>
        </xdr:nvSpPr>
        <xdr:spPr>
          <a:xfrm>
            <a:off x="11509061" y="5792438"/>
            <a:ext cx="2511855" cy="23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FECB335-97EC-43E3-9EE9-1BE82832BCA7}" type="TxLink">
              <a:rPr lang="en-US" sz="1100" b="1" i="0" u="none" strike="noStrike">
                <a:solidFill>
                  <a:srgbClr val="000000"/>
                </a:solidFill>
                <a:latin typeface="Aptos Narrow"/>
                <a:ea typeface="Calibri"/>
                <a:cs typeface="Calibri"/>
              </a:rPr>
              <a:pPr algn="ctr"/>
              <a:t>Visiblity</a:t>
            </a:fld>
            <a:endParaRPr lang="en-IN" sz="2400" b="1"/>
          </a:p>
        </xdr:txBody>
      </xdr:sp>
    </xdr:grpSp>
    <xdr:clientData/>
  </xdr:twoCellAnchor>
  <xdr:twoCellAnchor>
    <xdr:from>
      <xdr:col>11</xdr:col>
      <xdr:colOff>531458</xdr:colOff>
      <xdr:row>27</xdr:row>
      <xdr:rowOff>37804</xdr:rowOff>
    </xdr:from>
    <xdr:to>
      <xdr:col>15</xdr:col>
      <xdr:colOff>50799</xdr:colOff>
      <xdr:row>41</xdr:row>
      <xdr:rowOff>175919</xdr:rowOff>
    </xdr:to>
    <xdr:grpSp>
      <xdr:nvGrpSpPr>
        <xdr:cNvPr id="24" name="Group 23">
          <a:extLst>
            <a:ext uri="{FF2B5EF4-FFF2-40B4-BE49-F238E27FC236}">
              <a16:creationId xmlns:a16="http://schemas.microsoft.com/office/drawing/2014/main" id="{953A827E-5B15-437D-B4EA-D0550C7178D8}"/>
            </a:ext>
          </a:extLst>
        </xdr:cNvPr>
        <xdr:cNvGrpSpPr/>
      </xdr:nvGrpSpPr>
      <xdr:grpSpPr>
        <a:xfrm>
          <a:off x="9008708" y="5628979"/>
          <a:ext cx="3862741" cy="2671765"/>
          <a:chOff x="14383240" y="5433345"/>
          <a:chExt cx="2349106" cy="2083197"/>
        </a:xfrm>
      </xdr:grpSpPr>
      <xdr:graphicFrame macro="">
        <xdr:nvGraphicFramePr>
          <xdr:cNvPr id="25" name="Chart 24">
            <a:extLst>
              <a:ext uri="{FF2B5EF4-FFF2-40B4-BE49-F238E27FC236}">
                <a16:creationId xmlns:a16="http://schemas.microsoft.com/office/drawing/2014/main" id="{BAEF544E-21B4-8378-6738-16CAC037F482}"/>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10"/>
          </a:graphicData>
        </a:graphic>
      </xdr:graphicFrame>
      <xdr:sp macro="" textlink="$A$22">
        <xdr:nvSpPr>
          <xdr:cNvPr id="26" name="TextBox 25">
            <a:extLst>
              <a:ext uri="{FF2B5EF4-FFF2-40B4-BE49-F238E27FC236}">
                <a16:creationId xmlns:a16="http://schemas.microsoft.com/office/drawing/2014/main" id="{EFACC674-114A-0960-9E09-0B28492E30F0}"/>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F0AB93E-9191-4E27-8842-3A06799822BD}" type="TxLink">
              <a:rPr lang="en-US" sz="1100" b="1" i="0" u="none" strike="noStrike">
                <a:solidFill>
                  <a:srgbClr val="000000"/>
                </a:solidFill>
                <a:latin typeface="Aptos Narrow"/>
                <a:ea typeface="Calibri"/>
                <a:cs typeface="Calibri"/>
              </a:rPr>
              <a:pPr algn="ctr"/>
              <a:t>IB Winrate (Competition)</a:t>
            </a:fld>
            <a:endParaRPr lang="en-IN" sz="2400" b="1"/>
          </a:p>
        </xdr:txBody>
      </xdr:sp>
    </xdr:grpSp>
    <xdr:clientData/>
  </xdr:twoCellAnchor>
  <xdr:twoCellAnchor>
    <xdr:from>
      <xdr:col>0</xdr:col>
      <xdr:colOff>0</xdr:colOff>
      <xdr:row>66</xdr:row>
      <xdr:rowOff>23585</xdr:rowOff>
    </xdr:from>
    <xdr:to>
      <xdr:col>2</xdr:col>
      <xdr:colOff>1183765</xdr:colOff>
      <xdr:row>80</xdr:row>
      <xdr:rowOff>109753</xdr:rowOff>
    </xdr:to>
    <xdr:grpSp>
      <xdr:nvGrpSpPr>
        <xdr:cNvPr id="121" name="Group 29">
          <a:extLst>
            <a:ext uri="{FF2B5EF4-FFF2-40B4-BE49-F238E27FC236}">
              <a16:creationId xmlns:a16="http://schemas.microsoft.com/office/drawing/2014/main" id="{C4E0FB86-0410-4A15-B64E-42F5D2869D6F}"/>
            </a:ext>
          </a:extLst>
        </xdr:cNvPr>
        <xdr:cNvGrpSpPr/>
      </xdr:nvGrpSpPr>
      <xdr:grpSpPr>
        <a:xfrm>
          <a:off x="0" y="14330135"/>
          <a:ext cx="5041390"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122" name="Chart 30">
                <a:extLst>
                  <a:ext uri="{FF2B5EF4-FFF2-40B4-BE49-F238E27FC236}">
                    <a16:creationId xmlns:a16="http://schemas.microsoft.com/office/drawing/2014/main" id="{1107A1DA-0B1B-69CD-F71B-97BC995B32F7}"/>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9">
        <xdr:nvSpPr>
          <xdr:cNvPr id="123" name="TextBox 31">
            <a:extLst>
              <a:ext uri="{FF2B5EF4-FFF2-40B4-BE49-F238E27FC236}">
                <a16:creationId xmlns:a16="http://schemas.microsoft.com/office/drawing/2014/main" id="{22F2A4B7-7D13-E6D6-4080-0B7D74CB8386}"/>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Market Share</a:t>
            </a:fld>
            <a:endParaRPr lang="en-IN" sz="1600" b="1"/>
          </a:p>
        </xdr:txBody>
      </xdr:sp>
    </xdr:grpSp>
    <xdr:clientData/>
  </xdr:twoCellAnchor>
  <xdr:twoCellAnchor>
    <xdr:from>
      <xdr:col>2</xdr:col>
      <xdr:colOff>1249382</xdr:colOff>
      <xdr:row>65</xdr:row>
      <xdr:rowOff>257956</xdr:rowOff>
    </xdr:from>
    <xdr:to>
      <xdr:col>5</xdr:col>
      <xdr:colOff>920201</xdr:colOff>
      <xdr:row>80</xdr:row>
      <xdr:rowOff>125432</xdr:rowOff>
    </xdr:to>
    <xdr:grpSp>
      <xdr:nvGrpSpPr>
        <xdr:cNvPr id="124" name="Group 32">
          <a:extLst>
            <a:ext uri="{FF2B5EF4-FFF2-40B4-BE49-F238E27FC236}">
              <a16:creationId xmlns:a16="http://schemas.microsoft.com/office/drawing/2014/main" id="{8DD9510D-315A-4AF4-BA5E-8D4462FB6CEE}"/>
            </a:ext>
          </a:extLst>
        </xdr:cNvPr>
        <xdr:cNvGrpSpPr/>
      </xdr:nvGrpSpPr>
      <xdr:grpSpPr>
        <a:xfrm>
          <a:off x="5107007" y="14297806"/>
          <a:ext cx="112693"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125" name="Chart 33">
                <a:extLst>
                  <a:ext uri="{FF2B5EF4-FFF2-40B4-BE49-F238E27FC236}">
                    <a16:creationId xmlns:a16="http://schemas.microsoft.com/office/drawing/2014/main" id="{379CF3DC-EBEA-26CF-7666-2E4364F21067}"/>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2">
        <xdr:nvSpPr>
          <xdr:cNvPr id="126" name="TextBox 34">
            <a:extLst>
              <a:ext uri="{FF2B5EF4-FFF2-40B4-BE49-F238E27FC236}">
                <a16:creationId xmlns:a16="http://schemas.microsoft.com/office/drawing/2014/main" id="{26EAAB9E-542B-733C-9713-C31119A828B9}"/>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Order Intake</a:t>
            </a:fld>
            <a:endParaRPr lang="en-IN" sz="1600" b="1"/>
          </a:p>
        </xdr:txBody>
      </xdr:sp>
    </xdr:grpSp>
    <xdr:clientData/>
  </xdr:twoCellAnchor>
  <xdr:twoCellAnchor>
    <xdr:from>
      <xdr:col>5</xdr:col>
      <xdr:colOff>920514</xdr:colOff>
      <xdr:row>66</xdr:row>
      <xdr:rowOff>15312</xdr:rowOff>
    </xdr:from>
    <xdr:to>
      <xdr:col>9</xdr:col>
      <xdr:colOff>611482</xdr:colOff>
      <xdr:row>80</xdr:row>
      <xdr:rowOff>125432</xdr:rowOff>
    </xdr:to>
    <xdr:grpSp>
      <xdr:nvGrpSpPr>
        <xdr:cNvPr id="127" name="Group 35">
          <a:extLst>
            <a:ext uri="{FF2B5EF4-FFF2-40B4-BE49-F238E27FC236}">
              <a16:creationId xmlns:a16="http://schemas.microsoft.com/office/drawing/2014/main" id="{4F1393C0-9272-40C9-B7F1-5C39ADEB28EB}"/>
            </a:ext>
          </a:extLst>
        </xdr:cNvPr>
        <xdr:cNvGrpSpPr/>
      </xdr:nvGrpSpPr>
      <xdr:grpSpPr>
        <a:xfrm>
          <a:off x="5219700" y="14321862"/>
          <a:ext cx="1640182"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28" name="Chart 36">
                <a:extLst>
                  <a:ext uri="{FF2B5EF4-FFF2-40B4-BE49-F238E27FC236}">
                    <a16:creationId xmlns:a16="http://schemas.microsoft.com/office/drawing/2014/main" id="{02FE07A3-BD1F-B3FB-92F1-1704CBE94239}"/>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5">
        <xdr:nvSpPr>
          <xdr:cNvPr id="129" name="TextBox 37">
            <a:extLst>
              <a:ext uri="{FF2B5EF4-FFF2-40B4-BE49-F238E27FC236}">
                <a16:creationId xmlns:a16="http://schemas.microsoft.com/office/drawing/2014/main" id="{BA2E9CD2-0165-B87D-BAA3-A44C26437C5C}"/>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IB Competitive Win Rate(Total)</a:t>
            </a:fld>
            <a:endParaRPr lang="en-IN" sz="1600" b="1"/>
          </a:p>
        </xdr:txBody>
      </xdr:sp>
    </xdr:grpSp>
    <xdr:clientData/>
  </xdr:twoCellAnchor>
  <xdr:twoCellAnchor>
    <xdr:from>
      <xdr:col>9</xdr:col>
      <xdr:colOff>658518</xdr:colOff>
      <xdr:row>65</xdr:row>
      <xdr:rowOff>266376</xdr:rowOff>
    </xdr:from>
    <xdr:to>
      <xdr:col>13</xdr:col>
      <xdr:colOff>7762</xdr:colOff>
      <xdr:row>80</xdr:row>
      <xdr:rowOff>94074</xdr:rowOff>
    </xdr:to>
    <xdr:grpSp>
      <xdr:nvGrpSpPr>
        <xdr:cNvPr id="136" name="Group 38">
          <a:extLst>
            <a:ext uri="{FF2B5EF4-FFF2-40B4-BE49-F238E27FC236}">
              <a16:creationId xmlns:a16="http://schemas.microsoft.com/office/drawing/2014/main" id="{23E0CEE7-A432-4D6A-8245-1EE8E256B886}"/>
            </a:ext>
          </a:extLst>
        </xdr:cNvPr>
        <xdr:cNvGrpSpPr/>
      </xdr:nvGrpSpPr>
      <xdr:grpSpPr>
        <a:xfrm>
          <a:off x="6906918" y="14306226"/>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137" name="Chart 39">
                <a:extLst>
                  <a:ext uri="{FF2B5EF4-FFF2-40B4-BE49-F238E27FC236}">
                    <a16:creationId xmlns:a16="http://schemas.microsoft.com/office/drawing/2014/main" id="{2C6DAD5A-5FDD-E900-2B10-28C5571582FB}"/>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8">
        <xdr:nvSpPr>
          <xdr:cNvPr id="138" name="TextBox 40">
            <a:extLst>
              <a:ext uri="{FF2B5EF4-FFF2-40B4-BE49-F238E27FC236}">
                <a16:creationId xmlns:a16="http://schemas.microsoft.com/office/drawing/2014/main" id="{9AD9A359-AE35-F1E2-1867-B93B654CE585}"/>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Funnel Coverage</a:t>
            </a:fld>
            <a:endParaRPr lang="en-IN" sz="1600" b="1"/>
          </a:p>
        </xdr:txBody>
      </xdr:sp>
    </xdr:grpSp>
    <xdr:clientData/>
  </xdr:twoCellAnchor>
  <xdr:twoCellAnchor>
    <xdr:from>
      <xdr:col>13</xdr:col>
      <xdr:colOff>54876</xdr:colOff>
      <xdr:row>65</xdr:row>
      <xdr:rowOff>233461</xdr:rowOff>
    </xdr:from>
    <xdr:to>
      <xdr:col>16</xdr:col>
      <xdr:colOff>266543</xdr:colOff>
      <xdr:row>80</xdr:row>
      <xdr:rowOff>94074</xdr:rowOff>
    </xdr:to>
    <xdr:grpSp>
      <xdr:nvGrpSpPr>
        <xdr:cNvPr id="130" name="Group 41">
          <a:extLst>
            <a:ext uri="{FF2B5EF4-FFF2-40B4-BE49-F238E27FC236}">
              <a16:creationId xmlns:a16="http://schemas.microsoft.com/office/drawing/2014/main" id="{F55619FB-DD15-43D9-B1EF-13439951109D}"/>
            </a:ext>
          </a:extLst>
        </xdr:cNvPr>
        <xdr:cNvGrpSpPr/>
      </xdr:nvGrpSpPr>
      <xdr:grpSpPr>
        <a:xfrm>
          <a:off x="10675251" y="14273311"/>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131" name="Chart 42">
                <a:extLst>
                  <a:ext uri="{FF2B5EF4-FFF2-40B4-BE49-F238E27FC236}">
                    <a16:creationId xmlns:a16="http://schemas.microsoft.com/office/drawing/2014/main" id="{F9FCA8A6-D69E-D779-9126-467B7E682624}"/>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1">
        <xdr:nvSpPr>
          <xdr:cNvPr id="132" name="TextBox 43">
            <a:extLst>
              <a:ext uri="{FF2B5EF4-FFF2-40B4-BE49-F238E27FC236}">
                <a16:creationId xmlns:a16="http://schemas.microsoft.com/office/drawing/2014/main" id="{E6D076E2-E1D2-86F0-CFE0-F3150194467C}"/>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of Demos</a:t>
            </a:fld>
            <a:endParaRPr lang="en-IN" sz="1600" b="1"/>
          </a:p>
        </xdr:txBody>
      </xdr:sp>
    </xdr:grpSp>
    <xdr:clientData/>
  </xdr:twoCellAnchor>
  <xdr:twoCellAnchor>
    <xdr:from>
      <xdr:col>16</xdr:col>
      <xdr:colOff>329260</xdr:colOff>
      <xdr:row>65</xdr:row>
      <xdr:rowOff>232552</xdr:rowOff>
    </xdr:from>
    <xdr:to>
      <xdr:col>20</xdr:col>
      <xdr:colOff>31358</xdr:colOff>
      <xdr:row>80</xdr:row>
      <xdr:rowOff>117593</xdr:rowOff>
    </xdr:to>
    <xdr:grpSp>
      <xdr:nvGrpSpPr>
        <xdr:cNvPr id="133" name="Group 44">
          <a:extLst>
            <a:ext uri="{FF2B5EF4-FFF2-40B4-BE49-F238E27FC236}">
              <a16:creationId xmlns:a16="http://schemas.microsoft.com/office/drawing/2014/main" id="{AA46ECE2-8EAD-4637-9F95-1AD437970731}"/>
            </a:ext>
          </a:extLst>
        </xdr:cNvPr>
        <xdr:cNvGrpSpPr/>
      </xdr:nvGrpSpPr>
      <xdr:grpSpPr>
        <a:xfrm>
          <a:off x="14321485" y="14272402"/>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34" name="Chart 45">
                <a:extLst>
                  <a:ext uri="{FF2B5EF4-FFF2-40B4-BE49-F238E27FC236}">
                    <a16:creationId xmlns:a16="http://schemas.microsoft.com/office/drawing/2014/main" id="{967E916F-4EDD-EB22-918A-CDF297D5D899}"/>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4">
        <xdr:nvSpPr>
          <xdr:cNvPr id="135" name="TextBox 46">
            <a:extLst>
              <a:ext uri="{FF2B5EF4-FFF2-40B4-BE49-F238E27FC236}">
                <a16:creationId xmlns:a16="http://schemas.microsoft.com/office/drawing/2014/main" id="{5EC05720-B1EB-82BB-0643-D78DBF58A4E8}"/>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Visiblity</a:t>
            </a:fld>
            <a:endParaRPr lang="en-IN" sz="1600" b="1"/>
          </a:p>
        </xdr:txBody>
      </xdr:sp>
    </xdr:grpSp>
    <xdr:clientData/>
  </xdr:twoCellAnchor>
  <xdr:twoCellAnchor>
    <xdr:from>
      <xdr:col>15</xdr:col>
      <xdr:colOff>129344</xdr:colOff>
      <xdr:row>27</xdr:row>
      <xdr:rowOff>57150</xdr:rowOff>
    </xdr:from>
    <xdr:to>
      <xdr:col>18</xdr:col>
      <xdr:colOff>757290</xdr:colOff>
      <xdr:row>42</xdr:row>
      <xdr:rowOff>6350</xdr:rowOff>
    </xdr:to>
    <xdr:grpSp>
      <xdr:nvGrpSpPr>
        <xdr:cNvPr id="45" name="Group 44">
          <a:extLst>
            <a:ext uri="{FF2B5EF4-FFF2-40B4-BE49-F238E27FC236}">
              <a16:creationId xmlns:a16="http://schemas.microsoft.com/office/drawing/2014/main" id="{C32874C8-615B-424A-9A11-EEDB744610CB}"/>
            </a:ext>
          </a:extLst>
        </xdr:cNvPr>
        <xdr:cNvGrpSpPr/>
      </xdr:nvGrpSpPr>
      <xdr:grpSpPr>
        <a:xfrm>
          <a:off x="12949994" y="5648325"/>
          <a:ext cx="3733096" cy="2663825"/>
          <a:chOff x="20038365" y="5634543"/>
          <a:chExt cx="3724549" cy="2645519"/>
        </a:xfrm>
      </xdr:grpSpPr>
      <xdr:graphicFrame macro="">
        <xdr:nvGraphicFramePr>
          <xdr:cNvPr id="46" name="Chart 45">
            <a:extLst>
              <a:ext uri="{FF2B5EF4-FFF2-40B4-BE49-F238E27FC236}">
                <a16:creationId xmlns:a16="http://schemas.microsoft.com/office/drawing/2014/main" id="{7F5EBB6A-7567-0164-3F12-03B577E003E5}"/>
              </a:ext>
            </a:extLst>
          </xdr:cNvPr>
          <xdr:cNvGraphicFramePr/>
        </xdr:nvGraphicFramePr>
        <xdr:xfrm>
          <a:off x="20038365" y="5634543"/>
          <a:ext cx="3724549" cy="2645519"/>
        </xdr:xfrm>
        <a:graphic>
          <a:graphicData uri="http://schemas.openxmlformats.org/drawingml/2006/chart">
            <c:chart xmlns:c="http://schemas.openxmlformats.org/drawingml/2006/chart" xmlns:r="http://schemas.openxmlformats.org/officeDocument/2006/relationships" r:id="rId17"/>
          </a:graphicData>
        </a:graphic>
      </xdr:graphicFrame>
      <xdr:sp macro="" textlink="$A$24">
        <xdr:nvSpPr>
          <xdr:cNvPr id="47" name="TextBox 46">
            <a:extLst>
              <a:ext uri="{FF2B5EF4-FFF2-40B4-BE49-F238E27FC236}">
                <a16:creationId xmlns:a16="http://schemas.microsoft.com/office/drawing/2014/main" id="{688B6864-007B-B625-1205-0CD63261C2B3}"/>
              </a:ext>
            </a:extLst>
          </xdr:cNvPr>
          <xdr:cNvSpPr txBox="1"/>
        </xdr:nvSpPr>
        <xdr:spPr>
          <a:xfrm>
            <a:off x="20171049" y="5675803"/>
            <a:ext cx="3488582" cy="29006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D034FB-1A2F-49B9-B0BE-F9D397504A4D}" type="TxLink">
              <a:rPr lang="en-US" sz="1100" b="1" i="0" u="none" strike="noStrike">
                <a:solidFill>
                  <a:srgbClr val="000000"/>
                </a:solidFill>
                <a:latin typeface="Aptos Narrow"/>
              </a:rPr>
              <a:pPr algn="ctr"/>
              <a:t>Win Rate (Total)</a:t>
            </a:fld>
            <a:endParaRPr lang="en-IN" sz="1400" b="1"/>
          </a:p>
        </xdr:txBody>
      </xdr:sp>
    </xdr:grpSp>
    <xdr:clientData/>
  </xdr:twoCellAnchor>
  <xdr:twoCellAnchor editAs="oneCell">
    <xdr:from>
      <xdr:col>43</xdr:col>
      <xdr:colOff>495300</xdr:colOff>
      <xdr:row>4</xdr:row>
      <xdr:rowOff>238125</xdr:rowOff>
    </xdr:from>
    <xdr:to>
      <xdr:col>58</xdr:col>
      <xdr:colOff>533400</xdr:colOff>
      <xdr:row>25</xdr:row>
      <xdr:rowOff>5715</xdr:rowOff>
    </xdr:to>
    <xdr:pic>
      <xdr:nvPicPr>
        <xdr:cNvPr id="50" name="Picture 47">
          <a:extLst>
            <a:ext uri="{FF2B5EF4-FFF2-40B4-BE49-F238E27FC236}">
              <a16:creationId xmlns:a16="http://schemas.microsoft.com/office/drawing/2014/main" id="{85246B82-E6D9-6341-6DE0-2D3113F05D53}"/>
            </a:ext>
            <a:ext uri="{147F2762-F138-4A5C-976F-8EAC2B608ADB}">
              <a16:predDERef xmlns:a16="http://schemas.microsoft.com/office/drawing/2014/main" pred="{C32874C8-615B-424A-9A11-EEDB744610CB}"/>
            </a:ext>
          </a:extLst>
        </xdr:cNvPr>
        <xdr:cNvPicPr>
          <a:picLocks noChangeAspect="1"/>
        </xdr:cNvPicPr>
      </xdr:nvPicPr>
      <xdr:blipFill>
        <a:blip xmlns:r="http://schemas.openxmlformats.org/officeDocument/2006/relationships" r:embed="rId18"/>
        <a:stretch>
          <a:fillRect/>
        </a:stretch>
      </xdr:blipFill>
      <xdr:spPr>
        <a:xfrm>
          <a:off x="30175200" y="1190625"/>
          <a:ext cx="9829800" cy="39814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2</xdr:col>
      <xdr:colOff>0</xdr:colOff>
      <xdr:row>98</xdr:row>
      <xdr:rowOff>0</xdr:rowOff>
    </xdr:from>
    <xdr:ext cx="168910" cy="457200"/>
    <xdr:sp macro="" textlink="">
      <xdr:nvSpPr>
        <xdr:cNvPr id="2" name="Text Box 9">
          <a:extLst>
            <a:ext uri="{FF2B5EF4-FFF2-40B4-BE49-F238E27FC236}">
              <a16:creationId xmlns:a16="http://schemas.microsoft.com/office/drawing/2014/main" id="{23996F81-8DC6-4CB7-B5BF-7E88AD7A3613}"/>
            </a:ext>
          </a:extLst>
        </xdr:cNvPr>
        <xdr:cNvSpPr txBox="1">
          <a:spLocks noChangeArrowheads="1"/>
        </xdr:cNvSpPr>
      </xdr:nvSpPr>
      <xdr:spPr bwMode="auto">
        <a:xfrm>
          <a:off x="293370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98</xdr:row>
      <xdr:rowOff>0</xdr:rowOff>
    </xdr:from>
    <xdr:ext cx="167005" cy="457200"/>
    <xdr:sp macro="" textlink="">
      <xdr:nvSpPr>
        <xdr:cNvPr id="3" name="Text Box 13">
          <a:extLst>
            <a:ext uri="{FF2B5EF4-FFF2-40B4-BE49-F238E27FC236}">
              <a16:creationId xmlns:a16="http://schemas.microsoft.com/office/drawing/2014/main" id="{67674236-D247-498E-996B-429F7AC92DCD}"/>
            </a:ext>
          </a:extLst>
        </xdr:cNvPr>
        <xdr:cNvSpPr txBox="1">
          <a:spLocks noChangeArrowheads="1"/>
        </xdr:cNvSpPr>
      </xdr:nvSpPr>
      <xdr:spPr bwMode="auto">
        <a:xfrm>
          <a:off x="110680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98</xdr:row>
      <xdr:rowOff>0</xdr:rowOff>
    </xdr:from>
    <xdr:ext cx="167005" cy="457200"/>
    <xdr:sp macro="" textlink="">
      <xdr:nvSpPr>
        <xdr:cNvPr id="4" name="Text Box 13">
          <a:extLst>
            <a:ext uri="{FF2B5EF4-FFF2-40B4-BE49-F238E27FC236}">
              <a16:creationId xmlns:a16="http://schemas.microsoft.com/office/drawing/2014/main" id="{10C11E95-A927-4252-A6CC-E661A27A1ECD}"/>
            </a:ext>
          </a:extLst>
        </xdr:cNvPr>
        <xdr:cNvSpPr txBox="1">
          <a:spLocks noChangeArrowheads="1"/>
        </xdr:cNvSpPr>
      </xdr:nvSpPr>
      <xdr:spPr bwMode="auto">
        <a:xfrm>
          <a:off x="110680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98</xdr:row>
      <xdr:rowOff>0</xdr:rowOff>
    </xdr:from>
    <xdr:ext cx="152400" cy="457200"/>
    <xdr:sp macro="" textlink="">
      <xdr:nvSpPr>
        <xdr:cNvPr id="5" name="Text Box 13">
          <a:extLst>
            <a:ext uri="{FF2B5EF4-FFF2-40B4-BE49-F238E27FC236}">
              <a16:creationId xmlns:a16="http://schemas.microsoft.com/office/drawing/2014/main" id="{899775AF-D35B-494E-8D9A-998C67DFC745}"/>
            </a:ext>
          </a:extLst>
        </xdr:cNvPr>
        <xdr:cNvSpPr txBox="1">
          <a:spLocks noChangeArrowheads="1"/>
        </xdr:cNvSpPr>
      </xdr:nvSpPr>
      <xdr:spPr bwMode="auto">
        <a:xfrm>
          <a:off x="1104778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98</xdr:row>
      <xdr:rowOff>0</xdr:rowOff>
    </xdr:from>
    <xdr:ext cx="168910" cy="457200"/>
    <xdr:sp macro="" textlink="">
      <xdr:nvSpPr>
        <xdr:cNvPr id="6" name="Text Box 9">
          <a:extLst>
            <a:ext uri="{FF2B5EF4-FFF2-40B4-BE49-F238E27FC236}">
              <a16:creationId xmlns:a16="http://schemas.microsoft.com/office/drawing/2014/main" id="{BCE93513-F6A0-4659-A398-45EF14B53E3F}"/>
            </a:ext>
          </a:extLst>
        </xdr:cNvPr>
        <xdr:cNvSpPr txBox="1">
          <a:spLocks noChangeArrowheads="1"/>
        </xdr:cNvSpPr>
      </xdr:nvSpPr>
      <xdr:spPr bwMode="auto">
        <a:xfrm>
          <a:off x="296430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95</xdr:row>
      <xdr:rowOff>10092</xdr:rowOff>
    </xdr:from>
    <xdr:to>
      <xdr:col>2</xdr:col>
      <xdr:colOff>211454</xdr:colOff>
      <xdr:row>95</xdr:row>
      <xdr:rowOff>149302</xdr:rowOff>
    </xdr:to>
    <xdr:pic>
      <xdr:nvPicPr>
        <xdr:cNvPr id="7" name="Picture 6">
          <a:extLst>
            <a:ext uri="{FF2B5EF4-FFF2-40B4-BE49-F238E27FC236}">
              <a16:creationId xmlns:a16="http://schemas.microsoft.com/office/drawing/2014/main" id="{E7227ECB-D5E3-4268-8846-6DB05EC39E36}"/>
            </a:ext>
          </a:extLst>
        </xdr:cNvPr>
        <xdr:cNvPicPr>
          <a:picLocks noChangeAspect="1"/>
        </xdr:cNvPicPr>
      </xdr:nvPicPr>
      <xdr:blipFill>
        <a:blip xmlns:r="http://schemas.openxmlformats.org/officeDocument/2006/relationships" r:embed="rId1"/>
        <a:stretch>
          <a:fillRect/>
        </a:stretch>
      </xdr:blipFill>
      <xdr:spPr>
        <a:xfrm>
          <a:off x="2971800" y="20266592"/>
          <a:ext cx="173354" cy="139210"/>
        </a:xfrm>
        <a:prstGeom prst="rect">
          <a:avLst/>
        </a:prstGeom>
      </xdr:spPr>
    </xdr:pic>
    <xdr:clientData/>
  </xdr:twoCellAnchor>
  <xdr:twoCellAnchor editAs="oneCell">
    <xdr:from>
      <xdr:col>3</xdr:col>
      <xdr:colOff>13710</xdr:colOff>
      <xdr:row>95</xdr:row>
      <xdr:rowOff>13986</xdr:rowOff>
    </xdr:from>
    <xdr:to>
      <xdr:col>3</xdr:col>
      <xdr:colOff>154322</xdr:colOff>
      <xdr:row>95</xdr:row>
      <xdr:rowOff>168601</xdr:rowOff>
    </xdr:to>
    <xdr:pic>
      <xdr:nvPicPr>
        <xdr:cNvPr id="8" name="Picture 7">
          <a:extLst>
            <a:ext uri="{FF2B5EF4-FFF2-40B4-BE49-F238E27FC236}">
              <a16:creationId xmlns:a16="http://schemas.microsoft.com/office/drawing/2014/main" id="{B9194970-5B54-4492-B98B-7CFB41A938DF}"/>
            </a:ext>
          </a:extLst>
        </xdr:cNvPr>
        <xdr:cNvPicPr>
          <a:picLocks noChangeAspect="1"/>
        </xdr:cNvPicPr>
      </xdr:nvPicPr>
      <xdr:blipFill>
        <a:blip xmlns:r="http://schemas.openxmlformats.org/officeDocument/2006/relationships" r:embed="rId2"/>
        <a:stretch>
          <a:fillRect/>
        </a:stretch>
      </xdr:blipFill>
      <xdr:spPr>
        <a:xfrm>
          <a:off x="4363460" y="20270486"/>
          <a:ext cx="140612" cy="154615"/>
        </a:xfrm>
        <a:prstGeom prst="rect">
          <a:avLst/>
        </a:prstGeom>
      </xdr:spPr>
    </xdr:pic>
    <xdr:clientData/>
  </xdr:twoCellAnchor>
  <xdr:twoCellAnchor editAs="oneCell">
    <xdr:from>
      <xdr:col>4</xdr:col>
      <xdr:colOff>44450</xdr:colOff>
      <xdr:row>95</xdr:row>
      <xdr:rowOff>19130</xdr:rowOff>
    </xdr:from>
    <xdr:to>
      <xdr:col>4</xdr:col>
      <xdr:colOff>207645</xdr:colOff>
      <xdr:row>96</xdr:row>
      <xdr:rowOff>898</xdr:rowOff>
    </xdr:to>
    <xdr:pic>
      <xdr:nvPicPr>
        <xdr:cNvPr id="9" name="Picture 8">
          <a:extLst>
            <a:ext uri="{FF2B5EF4-FFF2-40B4-BE49-F238E27FC236}">
              <a16:creationId xmlns:a16="http://schemas.microsoft.com/office/drawing/2014/main" id="{5BCD3474-0E8F-4397-8E7E-54F107AEC0CB}"/>
            </a:ext>
          </a:extLst>
        </xdr:cNvPr>
        <xdr:cNvPicPr>
          <a:picLocks noChangeAspect="1"/>
        </xdr:cNvPicPr>
      </xdr:nvPicPr>
      <xdr:blipFill>
        <a:blip xmlns:r="http://schemas.openxmlformats.org/officeDocument/2006/relationships" r:embed="rId3"/>
        <a:stretch>
          <a:fillRect/>
        </a:stretch>
      </xdr:blipFill>
      <xdr:spPr>
        <a:xfrm flipV="1">
          <a:off x="5772150" y="20275630"/>
          <a:ext cx="163195" cy="165918"/>
        </a:xfrm>
        <a:prstGeom prst="rect">
          <a:avLst/>
        </a:prstGeom>
      </xdr:spPr>
    </xdr:pic>
    <xdr:clientData/>
  </xdr:twoCellAnchor>
  <xdr:oneCellAnchor>
    <xdr:from>
      <xdr:col>1</xdr:col>
      <xdr:colOff>20248</xdr:colOff>
      <xdr:row>95</xdr:row>
      <xdr:rowOff>8127</xdr:rowOff>
    </xdr:from>
    <xdr:ext cx="199069" cy="170387"/>
    <xdr:pic>
      <xdr:nvPicPr>
        <xdr:cNvPr id="10" name="Picture 9">
          <a:extLst>
            <a:ext uri="{FF2B5EF4-FFF2-40B4-BE49-F238E27FC236}">
              <a16:creationId xmlns:a16="http://schemas.microsoft.com/office/drawing/2014/main" id="{D4D274B7-DBF0-41AB-BB06-79450AF0242E}"/>
            </a:ext>
          </a:extLst>
        </xdr:cNvPr>
        <xdr:cNvPicPr>
          <a:picLocks noChangeAspect="1"/>
        </xdr:cNvPicPr>
      </xdr:nvPicPr>
      <xdr:blipFill>
        <a:blip xmlns:r="http://schemas.openxmlformats.org/officeDocument/2006/relationships" r:embed="rId4"/>
        <a:stretch>
          <a:fillRect/>
        </a:stretch>
      </xdr:blipFill>
      <xdr:spPr>
        <a:xfrm>
          <a:off x="1398198" y="20264627"/>
          <a:ext cx="199069" cy="170387"/>
        </a:xfrm>
        <a:prstGeom prst="rect">
          <a:avLst/>
        </a:prstGeom>
      </xdr:spPr>
    </xdr:pic>
    <xdr:clientData/>
  </xdr:oneCellAnchor>
  <xdr:twoCellAnchor editAs="oneCell">
    <xdr:from>
      <xdr:col>0</xdr:col>
      <xdr:colOff>0</xdr:colOff>
      <xdr:row>95</xdr:row>
      <xdr:rowOff>7863</xdr:rowOff>
    </xdr:from>
    <xdr:to>
      <xdr:col>0</xdr:col>
      <xdr:colOff>208786</xdr:colOff>
      <xdr:row>96</xdr:row>
      <xdr:rowOff>248</xdr:rowOff>
    </xdr:to>
    <xdr:pic>
      <xdr:nvPicPr>
        <xdr:cNvPr id="11" name="Picture 10">
          <a:extLst>
            <a:ext uri="{FF2B5EF4-FFF2-40B4-BE49-F238E27FC236}">
              <a16:creationId xmlns:a16="http://schemas.microsoft.com/office/drawing/2014/main" id="{68C65C28-3A58-49DB-B514-1C80EFA8FEE4}"/>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0</xdr:col>
      <xdr:colOff>30010</xdr:colOff>
      <xdr:row>27</xdr:row>
      <xdr:rowOff>25935</xdr:rowOff>
    </xdr:from>
    <xdr:to>
      <xdr:col>2</xdr:col>
      <xdr:colOff>531812</xdr:colOff>
      <xdr:row>41</xdr:row>
      <xdr:rowOff>158750</xdr:rowOff>
    </xdr:to>
    <xdr:grpSp>
      <xdr:nvGrpSpPr>
        <xdr:cNvPr id="12" name="Group 11">
          <a:extLst>
            <a:ext uri="{FF2B5EF4-FFF2-40B4-BE49-F238E27FC236}">
              <a16:creationId xmlns:a16="http://schemas.microsoft.com/office/drawing/2014/main" id="{F9D892B0-407B-4C74-BC17-8A44E7C9FD38}"/>
            </a:ext>
          </a:extLst>
        </xdr:cNvPr>
        <xdr:cNvGrpSpPr/>
      </xdr:nvGrpSpPr>
      <xdr:grpSpPr>
        <a:xfrm>
          <a:off x="30010" y="5769510"/>
          <a:ext cx="3302152" cy="2666465"/>
          <a:chOff x="77635" y="5406915"/>
          <a:chExt cx="2829628" cy="2158877"/>
        </a:xfrm>
      </xdr:grpSpPr>
      <xdr:graphicFrame macro="">
        <xdr:nvGraphicFramePr>
          <xdr:cNvPr id="13" name="Chart 12">
            <a:extLst>
              <a:ext uri="{FF2B5EF4-FFF2-40B4-BE49-F238E27FC236}">
                <a16:creationId xmlns:a16="http://schemas.microsoft.com/office/drawing/2014/main" id="{68992217-7E3F-34D0-EFA6-D6E0C53E1393}"/>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14" name="TextBox 13">
            <a:extLst>
              <a:ext uri="{FF2B5EF4-FFF2-40B4-BE49-F238E27FC236}">
                <a16:creationId xmlns:a16="http://schemas.microsoft.com/office/drawing/2014/main" id="{4415B3D3-E584-E2B0-A61F-F62B862C3FBE}"/>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EQ Funnel Sufficiency</a:t>
            </a:fld>
            <a:endParaRPr lang="en-IN" sz="1800" b="1"/>
          </a:p>
        </xdr:txBody>
      </xdr:sp>
    </xdr:grpSp>
    <xdr:clientData/>
  </xdr:twoCellAnchor>
  <xdr:twoCellAnchor>
    <xdr:from>
      <xdr:col>2</xdr:col>
      <xdr:colOff>584545</xdr:colOff>
      <xdr:row>27</xdr:row>
      <xdr:rowOff>12700</xdr:rowOff>
    </xdr:from>
    <xdr:to>
      <xdr:col>4</xdr:col>
      <xdr:colOff>1414462</xdr:colOff>
      <xdr:row>42</xdr:row>
      <xdr:rowOff>11339</xdr:rowOff>
    </xdr:to>
    <xdr:grpSp>
      <xdr:nvGrpSpPr>
        <xdr:cNvPr id="30" name="Group 14">
          <a:extLst>
            <a:ext uri="{FF2B5EF4-FFF2-40B4-BE49-F238E27FC236}">
              <a16:creationId xmlns:a16="http://schemas.microsoft.com/office/drawing/2014/main" id="{779AA819-7354-4212-86F4-2B24DD38A347}"/>
            </a:ext>
          </a:extLst>
        </xdr:cNvPr>
        <xdr:cNvGrpSpPr/>
      </xdr:nvGrpSpPr>
      <xdr:grpSpPr>
        <a:xfrm>
          <a:off x="3384895" y="5756275"/>
          <a:ext cx="3458817" cy="2713264"/>
          <a:chOff x="2905974" y="5419664"/>
          <a:chExt cx="3092518" cy="2147057"/>
        </a:xfrm>
      </xdr:grpSpPr>
      <xdr:graphicFrame macro="">
        <xdr:nvGraphicFramePr>
          <xdr:cNvPr id="31" name="Chart 15">
            <a:extLst>
              <a:ext uri="{FF2B5EF4-FFF2-40B4-BE49-F238E27FC236}">
                <a16:creationId xmlns:a16="http://schemas.microsoft.com/office/drawing/2014/main" id="{895DBE6E-FB14-E5E3-2F57-A0C06CF38898}"/>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32" name="TextBox 16">
            <a:extLst>
              <a:ext uri="{FF2B5EF4-FFF2-40B4-BE49-F238E27FC236}">
                <a16:creationId xmlns:a16="http://schemas.microsoft.com/office/drawing/2014/main" id="{6D920A07-41C1-E41B-E215-4E3DE97FFE72}"/>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PH IB Visibility</a:t>
            </a:fld>
            <a:endParaRPr lang="en-IN" sz="1800" b="1"/>
          </a:p>
        </xdr:txBody>
      </xdr:sp>
    </xdr:grpSp>
    <xdr:clientData/>
  </xdr:twoCellAnchor>
  <xdr:twoCellAnchor>
    <xdr:from>
      <xdr:col>5</xdr:col>
      <xdr:colOff>32123</xdr:colOff>
      <xdr:row>27</xdr:row>
      <xdr:rowOff>28379</xdr:rowOff>
    </xdr:from>
    <xdr:to>
      <xdr:col>8</xdr:col>
      <xdr:colOff>621908</xdr:colOff>
      <xdr:row>42</xdr:row>
      <xdr:rowOff>470</xdr:rowOff>
    </xdr:to>
    <xdr:grpSp>
      <xdr:nvGrpSpPr>
        <xdr:cNvPr id="18" name="Group 17">
          <a:extLst>
            <a:ext uri="{FF2B5EF4-FFF2-40B4-BE49-F238E27FC236}">
              <a16:creationId xmlns:a16="http://schemas.microsoft.com/office/drawing/2014/main" id="{1E82E0E4-CC70-41B8-A603-795B334905EF}"/>
            </a:ext>
          </a:extLst>
        </xdr:cNvPr>
        <xdr:cNvGrpSpPr/>
      </xdr:nvGrpSpPr>
      <xdr:grpSpPr>
        <a:xfrm>
          <a:off x="6871073" y="5771954"/>
          <a:ext cx="3733035" cy="2686716"/>
          <a:chOff x="5810561" y="5397766"/>
          <a:chExt cx="2667443" cy="2269965"/>
        </a:xfrm>
      </xdr:grpSpPr>
      <xdr:graphicFrame macro="">
        <xdr:nvGraphicFramePr>
          <xdr:cNvPr id="19" name="Chart 18">
            <a:extLst>
              <a:ext uri="{FF2B5EF4-FFF2-40B4-BE49-F238E27FC236}">
                <a16:creationId xmlns:a16="http://schemas.microsoft.com/office/drawing/2014/main" id="{7BD224C9-F45F-62BB-016A-AB25F63C1098}"/>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20" name="TextBox 19">
            <a:extLst>
              <a:ext uri="{FF2B5EF4-FFF2-40B4-BE49-F238E27FC236}">
                <a16:creationId xmlns:a16="http://schemas.microsoft.com/office/drawing/2014/main" id="{2CCA0923-FFDE-9516-B6D1-8157CA52B4D3}"/>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EQ Forecast Sufficiency</a:t>
            </a:fld>
            <a:endParaRPr lang="en-IN" sz="1800" b="1"/>
          </a:p>
        </xdr:txBody>
      </xdr:sp>
    </xdr:grpSp>
    <xdr:clientData/>
  </xdr:twoCellAnchor>
  <xdr:twoCellAnchor>
    <xdr:from>
      <xdr:col>8</xdr:col>
      <xdr:colOff>684212</xdr:colOff>
      <xdr:row>27</xdr:row>
      <xdr:rowOff>19050</xdr:rowOff>
    </xdr:from>
    <xdr:to>
      <xdr:col>12</xdr:col>
      <xdr:colOff>168274</xdr:colOff>
      <xdr:row>41</xdr:row>
      <xdr:rowOff>161926</xdr:rowOff>
    </xdr:to>
    <xdr:grpSp>
      <xdr:nvGrpSpPr>
        <xdr:cNvPr id="33" name="Group 20">
          <a:extLst>
            <a:ext uri="{FF2B5EF4-FFF2-40B4-BE49-F238E27FC236}">
              <a16:creationId xmlns:a16="http://schemas.microsoft.com/office/drawing/2014/main" id="{C8E99CC7-8B2C-4A16-B287-B090CFBD8628}"/>
            </a:ext>
          </a:extLst>
        </xdr:cNvPr>
        <xdr:cNvGrpSpPr/>
      </xdr:nvGrpSpPr>
      <xdr:grpSpPr>
        <a:xfrm>
          <a:off x="10666412" y="5762625"/>
          <a:ext cx="3846512" cy="2676526"/>
          <a:chOff x="8567036" y="5412365"/>
          <a:chExt cx="2683519" cy="2171271"/>
        </a:xfrm>
      </xdr:grpSpPr>
      <xdr:graphicFrame macro="">
        <xdr:nvGraphicFramePr>
          <xdr:cNvPr id="34" name="Chart 21">
            <a:extLst>
              <a:ext uri="{FF2B5EF4-FFF2-40B4-BE49-F238E27FC236}">
                <a16:creationId xmlns:a16="http://schemas.microsoft.com/office/drawing/2014/main" id="{7B400F8E-EF23-C4A0-60A9-EC8A77276D00}"/>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35" name="TextBox 22">
            <a:extLst>
              <a:ext uri="{FF2B5EF4-FFF2-40B4-BE49-F238E27FC236}">
                <a16:creationId xmlns:a16="http://schemas.microsoft.com/office/drawing/2014/main" id="{94F2885E-FE45-6E96-7A37-873508F408AE}"/>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2EE2076-7682-4B86-9550-ACEA511F404F}" type="TxLink">
              <a:rPr lang="en-US" sz="1200" b="1" i="0" u="none" strike="noStrike">
                <a:solidFill>
                  <a:srgbClr val="000000"/>
                </a:solidFill>
                <a:latin typeface="Aptos Narrow"/>
                <a:ea typeface="Calibri"/>
                <a:cs typeface="Calibri"/>
              </a:rPr>
              <a:pPr algn="ctr"/>
              <a:t>EQ Win-rate</a:t>
            </a:fld>
            <a:endParaRPr lang="en-IN" sz="2800" b="1"/>
          </a:p>
        </xdr:txBody>
      </xdr:sp>
    </xdr:grpSp>
    <xdr:clientData/>
  </xdr:twoCellAnchor>
  <xdr:twoCellAnchor>
    <xdr:from>
      <xdr:col>12</xdr:col>
      <xdr:colOff>243349</xdr:colOff>
      <xdr:row>27</xdr:row>
      <xdr:rowOff>25400</xdr:rowOff>
    </xdr:from>
    <xdr:to>
      <xdr:col>15</xdr:col>
      <xdr:colOff>857250</xdr:colOff>
      <xdr:row>41</xdr:row>
      <xdr:rowOff>163513</xdr:rowOff>
    </xdr:to>
    <xdr:grpSp>
      <xdr:nvGrpSpPr>
        <xdr:cNvPr id="36" name="Group 23">
          <a:extLst>
            <a:ext uri="{FF2B5EF4-FFF2-40B4-BE49-F238E27FC236}">
              <a16:creationId xmlns:a16="http://schemas.microsoft.com/office/drawing/2014/main" id="{FCD06FE0-5345-49D5-9FDC-B36119BDEC4A}"/>
            </a:ext>
          </a:extLst>
        </xdr:cNvPr>
        <xdr:cNvGrpSpPr/>
      </xdr:nvGrpSpPr>
      <xdr:grpSpPr>
        <a:xfrm>
          <a:off x="14587999" y="5768975"/>
          <a:ext cx="3852401" cy="2671763"/>
          <a:chOff x="11292890" y="5778019"/>
          <a:chExt cx="2950193" cy="2149373"/>
        </a:xfrm>
      </xdr:grpSpPr>
      <xdr:graphicFrame macro="">
        <xdr:nvGraphicFramePr>
          <xdr:cNvPr id="37" name="Chart 24">
            <a:extLst>
              <a:ext uri="{FF2B5EF4-FFF2-40B4-BE49-F238E27FC236}">
                <a16:creationId xmlns:a16="http://schemas.microsoft.com/office/drawing/2014/main" id="{CA9CDD32-B923-5D3E-B999-9729C0934DA6}"/>
              </a:ext>
            </a:extLst>
          </xdr:cNvPr>
          <xdr:cNvGraphicFramePr/>
        </xdr:nvGraphicFramePr>
        <xdr:xfrm>
          <a:off x="11292890" y="5778019"/>
          <a:ext cx="2950193" cy="2149373"/>
        </xdr:xfrm>
        <a:graphic>
          <a:graphicData uri="http://schemas.openxmlformats.org/drawingml/2006/chart">
            <c:chart xmlns:c="http://schemas.openxmlformats.org/drawingml/2006/chart" xmlns:r="http://schemas.openxmlformats.org/officeDocument/2006/relationships" r:id="rId10"/>
          </a:graphicData>
        </a:graphic>
      </xdr:graphicFrame>
      <xdr:sp macro="" textlink="$A$22">
        <xdr:nvSpPr>
          <xdr:cNvPr id="38" name="TextBox 25">
            <a:extLst>
              <a:ext uri="{FF2B5EF4-FFF2-40B4-BE49-F238E27FC236}">
                <a16:creationId xmlns:a16="http://schemas.microsoft.com/office/drawing/2014/main" id="{B1CB54AF-8215-613B-F9AC-198544CFE42D}"/>
              </a:ext>
            </a:extLst>
          </xdr:cNvPr>
          <xdr:cNvSpPr txBox="1"/>
        </xdr:nvSpPr>
        <xdr:spPr>
          <a:xfrm>
            <a:off x="11509061" y="5792438"/>
            <a:ext cx="2511855" cy="23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6E5A7F2-3004-4A48-B052-7AE69AA095E0}" type="TxLink">
              <a:rPr lang="en-US" sz="1200" b="1" i="0" u="none" strike="noStrike">
                <a:solidFill>
                  <a:srgbClr val="000000"/>
                </a:solidFill>
                <a:latin typeface="Aptos Narrow"/>
                <a:ea typeface="Calibri"/>
                <a:cs typeface="Calibri"/>
              </a:rPr>
              <a:pPr algn="ctr"/>
              <a:t>PoS%</a:t>
            </a:fld>
            <a:endParaRPr lang="en-IN" sz="2800" b="1"/>
          </a:p>
        </xdr:txBody>
      </xdr:sp>
    </xdr:grpSp>
    <xdr:clientData/>
  </xdr:twoCellAnchor>
  <xdr:twoCellAnchor>
    <xdr:from>
      <xdr:col>15</xdr:col>
      <xdr:colOff>954085</xdr:colOff>
      <xdr:row>27</xdr:row>
      <xdr:rowOff>20635</xdr:rowOff>
    </xdr:from>
    <xdr:to>
      <xdr:col>19</xdr:col>
      <xdr:colOff>755650</xdr:colOff>
      <xdr:row>41</xdr:row>
      <xdr:rowOff>158750</xdr:rowOff>
    </xdr:to>
    <xdr:grpSp>
      <xdr:nvGrpSpPr>
        <xdr:cNvPr id="39" name="Group 26">
          <a:extLst>
            <a:ext uri="{FF2B5EF4-FFF2-40B4-BE49-F238E27FC236}">
              <a16:creationId xmlns:a16="http://schemas.microsoft.com/office/drawing/2014/main" id="{E942449C-77F6-40A1-BB13-542AABFD07D7}"/>
            </a:ext>
          </a:extLst>
        </xdr:cNvPr>
        <xdr:cNvGrpSpPr/>
      </xdr:nvGrpSpPr>
      <xdr:grpSpPr>
        <a:xfrm>
          <a:off x="18537235" y="5764210"/>
          <a:ext cx="3878265" cy="2671765"/>
          <a:chOff x="14383240" y="5433345"/>
          <a:chExt cx="2349106" cy="2083197"/>
        </a:xfrm>
      </xdr:grpSpPr>
      <xdr:graphicFrame macro="">
        <xdr:nvGraphicFramePr>
          <xdr:cNvPr id="40" name="Chart 27">
            <a:extLst>
              <a:ext uri="{FF2B5EF4-FFF2-40B4-BE49-F238E27FC236}">
                <a16:creationId xmlns:a16="http://schemas.microsoft.com/office/drawing/2014/main" id="{9B5FC802-D81A-1191-4641-45AC99C3E596}"/>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11"/>
          </a:graphicData>
        </a:graphic>
      </xdr:graphicFrame>
      <xdr:sp macro="" textlink="$A$24">
        <xdr:nvSpPr>
          <xdr:cNvPr id="41" name="TextBox 28">
            <a:extLst>
              <a:ext uri="{FF2B5EF4-FFF2-40B4-BE49-F238E27FC236}">
                <a16:creationId xmlns:a16="http://schemas.microsoft.com/office/drawing/2014/main" id="{CEC5AB17-0E24-BCDC-C657-AC92835EECED}"/>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0B11EB-7D5B-49AD-B504-F643D2A2E3C5}" type="TxLink">
              <a:rPr lang="en-US" sz="1200" b="1" i="0" u="none" strike="noStrike">
                <a:solidFill>
                  <a:srgbClr val="000000"/>
                </a:solidFill>
                <a:latin typeface="Aptos Narrow"/>
                <a:ea typeface="Calibri"/>
                <a:cs typeface="Calibri"/>
              </a:rPr>
              <a:pPr algn="ctr"/>
              <a:t>IGM%</a:t>
            </a:fld>
            <a:endParaRPr lang="en-IN" sz="2800" b="1"/>
          </a:p>
        </xdr:txBody>
      </xdr:sp>
    </xdr:grpSp>
    <xdr:clientData/>
  </xdr:twoCellAnchor>
  <xdr:twoCellAnchor>
    <xdr:from>
      <xdr:col>0</xdr:col>
      <xdr:colOff>0</xdr:colOff>
      <xdr:row>66</xdr:row>
      <xdr:rowOff>23585</xdr:rowOff>
    </xdr:from>
    <xdr:to>
      <xdr:col>2</xdr:col>
      <xdr:colOff>1183765</xdr:colOff>
      <xdr:row>80</xdr:row>
      <xdr:rowOff>109753</xdr:rowOff>
    </xdr:to>
    <xdr:grpSp>
      <xdr:nvGrpSpPr>
        <xdr:cNvPr id="126" name="Group 29">
          <a:extLst>
            <a:ext uri="{FF2B5EF4-FFF2-40B4-BE49-F238E27FC236}">
              <a16:creationId xmlns:a16="http://schemas.microsoft.com/office/drawing/2014/main" id="{99C9DD04-AEBA-4390-93AA-E7C07E87E1CF}"/>
            </a:ext>
          </a:extLst>
        </xdr:cNvPr>
        <xdr:cNvGrpSpPr/>
      </xdr:nvGrpSpPr>
      <xdr:grpSpPr>
        <a:xfrm>
          <a:off x="0" y="14130110"/>
          <a:ext cx="3984115"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127" name="Chart 30">
                <a:extLst>
                  <a:ext uri="{FF2B5EF4-FFF2-40B4-BE49-F238E27FC236}">
                    <a16:creationId xmlns:a16="http://schemas.microsoft.com/office/drawing/2014/main" id="{B4185BD2-624F-99B7-AC96-6B7798774786}"/>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9">
        <xdr:nvSpPr>
          <xdr:cNvPr id="128" name="TextBox 31">
            <a:extLst>
              <a:ext uri="{FF2B5EF4-FFF2-40B4-BE49-F238E27FC236}">
                <a16:creationId xmlns:a16="http://schemas.microsoft.com/office/drawing/2014/main" id="{FBF2A93D-24AC-5299-197F-81281831780D}"/>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EQ + CS IGM%</a:t>
            </a:fld>
            <a:endParaRPr lang="en-IN" sz="1600" b="1"/>
          </a:p>
        </xdr:txBody>
      </xdr:sp>
    </xdr:grpSp>
    <xdr:clientData/>
  </xdr:twoCellAnchor>
  <xdr:twoCellAnchor>
    <xdr:from>
      <xdr:col>2</xdr:col>
      <xdr:colOff>1249382</xdr:colOff>
      <xdr:row>65</xdr:row>
      <xdr:rowOff>257956</xdr:rowOff>
    </xdr:from>
    <xdr:to>
      <xdr:col>5</xdr:col>
      <xdr:colOff>932901</xdr:colOff>
      <xdr:row>80</xdr:row>
      <xdr:rowOff>125432</xdr:rowOff>
    </xdr:to>
    <xdr:grpSp>
      <xdr:nvGrpSpPr>
        <xdr:cNvPr id="132" name="Group 32">
          <a:extLst>
            <a:ext uri="{FF2B5EF4-FFF2-40B4-BE49-F238E27FC236}">
              <a16:creationId xmlns:a16="http://schemas.microsoft.com/office/drawing/2014/main" id="{612BD5E1-9F71-466E-9C97-A4598F641408}"/>
            </a:ext>
          </a:extLst>
        </xdr:cNvPr>
        <xdr:cNvGrpSpPr/>
      </xdr:nvGrpSpPr>
      <xdr:grpSpPr>
        <a:xfrm>
          <a:off x="4049732" y="14097781"/>
          <a:ext cx="3722119"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133" name="Chart 33">
                <a:extLst>
                  <a:ext uri="{FF2B5EF4-FFF2-40B4-BE49-F238E27FC236}">
                    <a16:creationId xmlns:a16="http://schemas.microsoft.com/office/drawing/2014/main" id="{B4D0430B-53BB-C462-DC29-99F4D5703836}"/>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2">
        <xdr:nvSpPr>
          <xdr:cNvPr id="134" name="TextBox 34">
            <a:extLst>
              <a:ext uri="{FF2B5EF4-FFF2-40B4-BE49-F238E27FC236}">
                <a16:creationId xmlns:a16="http://schemas.microsoft.com/office/drawing/2014/main" id="{21F141C7-C571-D245-E5CA-937E908F0791}"/>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 </a:t>
            </a:fld>
            <a:endParaRPr lang="en-IN" sz="1600" b="1"/>
          </a:p>
        </xdr:txBody>
      </xdr:sp>
    </xdr:grpSp>
    <xdr:clientData/>
  </xdr:twoCellAnchor>
  <xdr:twoCellAnchor>
    <xdr:from>
      <xdr:col>5</xdr:col>
      <xdr:colOff>1003064</xdr:colOff>
      <xdr:row>66</xdr:row>
      <xdr:rowOff>15312</xdr:rowOff>
    </xdr:from>
    <xdr:to>
      <xdr:col>9</xdr:col>
      <xdr:colOff>611482</xdr:colOff>
      <xdr:row>80</xdr:row>
      <xdr:rowOff>125432</xdr:rowOff>
    </xdr:to>
    <xdr:grpSp>
      <xdr:nvGrpSpPr>
        <xdr:cNvPr id="135" name="Group 35">
          <a:extLst>
            <a:ext uri="{FF2B5EF4-FFF2-40B4-BE49-F238E27FC236}">
              <a16:creationId xmlns:a16="http://schemas.microsoft.com/office/drawing/2014/main" id="{E9F6FC4F-8285-4825-83F8-7B6DD3D8E38F}"/>
            </a:ext>
          </a:extLst>
        </xdr:cNvPr>
        <xdr:cNvGrpSpPr/>
      </xdr:nvGrpSpPr>
      <xdr:grpSpPr>
        <a:xfrm>
          <a:off x="7842014" y="14121837"/>
          <a:ext cx="3780368"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36" name="Chart 36">
                <a:extLst>
                  <a:ext uri="{FF2B5EF4-FFF2-40B4-BE49-F238E27FC236}">
                    <a16:creationId xmlns:a16="http://schemas.microsoft.com/office/drawing/2014/main" id="{F0226105-3656-0305-7906-246237E5933B}"/>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5">
        <xdr:nvSpPr>
          <xdr:cNvPr id="137" name="TextBox 37">
            <a:extLst>
              <a:ext uri="{FF2B5EF4-FFF2-40B4-BE49-F238E27FC236}">
                <a16:creationId xmlns:a16="http://schemas.microsoft.com/office/drawing/2014/main" id="{0F24DC7F-0CA9-3189-3231-F4798E669A24}"/>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9</xdr:col>
      <xdr:colOff>658518</xdr:colOff>
      <xdr:row>65</xdr:row>
      <xdr:rowOff>266376</xdr:rowOff>
    </xdr:from>
    <xdr:to>
      <xdr:col>13</xdr:col>
      <xdr:colOff>7762</xdr:colOff>
      <xdr:row>80</xdr:row>
      <xdr:rowOff>94074</xdr:rowOff>
    </xdr:to>
    <xdr:grpSp>
      <xdr:nvGrpSpPr>
        <xdr:cNvPr id="129" name="Group 38">
          <a:extLst>
            <a:ext uri="{FF2B5EF4-FFF2-40B4-BE49-F238E27FC236}">
              <a16:creationId xmlns:a16="http://schemas.microsoft.com/office/drawing/2014/main" id="{BE96BA62-547B-46F9-82F2-A561A57B1BCD}"/>
            </a:ext>
          </a:extLst>
        </xdr:cNvPr>
        <xdr:cNvGrpSpPr/>
      </xdr:nvGrpSpPr>
      <xdr:grpSpPr>
        <a:xfrm>
          <a:off x="11669418" y="14106201"/>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130" name="Chart 39">
                <a:extLst>
                  <a:ext uri="{FF2B5EF4-FFF2-40B4-BE49-F238E27FC236}">
                    <a16:creationId xmlns:a16="http://schemas.microsoft.com/office/drawing/2014/main" id="{C907C1EE-C2E1-3D52-0B04-61EBBA10B670}"/>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8">
        <xdr:nvSpPr>
          <xdr:cNvPr id="131" name="TextBox 40">
            <a:extLst>
              <a:ext uri="{FF2B5EF4-FFF2-40B4-BE49-F238E27FC236}">
                <a16:creationId xmlns:a16="http://schemas.microsoft.com/office/drawing/2014/main" id="{AC0ADC3F-A671-ADD5-1361-A2A3FD87BBBB}"/>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13</xdr:col>
      <xdr:colOff>54876</xdr:colOff>
      <xdr:row>65</xdr:row>
      <xdr:rowOff>233461</xdr:rowOff>
    </xdr:from>
    <xdr:to>
      <xdr:col>16</xdr:col>
      <xdr:colOff>266543</xdr:colOff>
      <xdr:row>80</xdr:row>
      <xdr:rowOff>94074</xdr:rowOff>
    </xdr:to>
    <xdr:grpSp>
      <xdr:nvGrpSpPr>
        <xdr:cNvPr id="120" name="Group 41">
          <a:extLst>
            <a:ext uri="{FF2B5EF4-FFF2-40B4-BE49-F238E27FC236}">
              <a16:creationId xmlns:a16="http://schemas.microsoft.com/office/drawing/2014/main" id="{18DC08F6-6C86-4C28-8421-C2CEADA33373}"/>
            </a:ext>
          </a:extLst>
        </xdr:cNvPr>
        <xdr:cNvGrpSpPr/>
      </xdr:nvGrpSpPr>
      <xdr:grpSpPr>
        <a:xfrm>
          <a:off x="15437751" y="14073286"/>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121" name="Chart 42">
                <a:extLst>
                  <a:ext uri="{FF2B5EF4-FFF2-40B4-BE49-F238E27FC236}">
                    <a16:creationId xmlns:a16="http://schemas.microsoft.com/office/drawing/2014/main" id="{A73A46F6-92D1-C597-DC82-ECB4F5E57BA3}"/>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1">
        <xdr:nvSpPr>
          <xdr:cNvPr id="122" name="TextBox 43">
            <a:extLst>
              <a:ext uri="{FF2B5EF4-FFF2-40B4-BE49-F238E27FC236}">
                <a16:creationId xmlns:a16="http://schemas.microsoft.com/office/drawing/2014/main" id="{6BFDBF4F-2126-31F9-86DE-075B106D736C}"/>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65</xdr:row>
      <xdr:rowOff>232552</xdr:rowOff>
    </xdr:from>
    <xdr:to>
      <xdr:col>20</xdr:col>
      <xdr:colOff>31358</xdr:colOff>
      <xdr:row>80</xdr:row>
      <xdr:rowOff>117593</xdr:rowOff>
    </xdr:to>
    <xdr:grpSp>
      <xdr:nvGrpSpPr>
        <xdr:cNvPr id="123" name="Group 44">
          <a:extLst>
            <a:ext uri="{FF2B5EF4-FFF2-40B4-BE49-F238E27FC236}">
              <a16:creationId xmlns:a16="http://schemas.microsoft.com/office/drawing/2014/main" id="{CE41CC3D-4056-48BD-8ADC-23322A6775A9}"/>
            </a:ext>
          </a:extLst>
        </xdr:cNvPr>
        <xdr:cNvGrpSpPr/>
      </xdr:nvGrpSpPr>
      <xdr:grpSpPr>
        <a:xfrm>
          <a:off x="19083985" y="14072377"/>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24" name="Chart 45">
                <a:extLst>
                  <a:ext uri="{FF2B5EF4-FFF2-40B4-BE49-F238E27FC236}">
                    <a16:creationId xmlns:a16="http://schemas.microsoft.com/office/drawing/2014/main" id="{F16D89F8-7652-EAEF-AC69-0BCCBAE6A4AB}"/>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4">
        <xdr:nvSpPr>
          <xdr:cNvPr id="125" name="TextBox 46">
            <a:extLst>
              <a:ext uri="{FF2B5EF4-FFF2-40B4-BE49-F238E27FC236}">
                <a16:creationId xmlns:a16="http://schemas.microsoft.com/office/drawing/2014/main" id="{E39E1A04-292D-6B0C-FF3A-C819EE58C070}"/>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wsDr>
</file>

<file path=xl/drawings/drawing13.xml><?xml version="1.0" encoding="utf-8"?>
<xdr:wsDr xmlns:xdr="http://schemas.openxmlformats.org/drawingml/2006/spreadsheetDrawing" xmlns:a="http://schemas.openxmlformats.org/drawingml/2006/main">
  <xdr:oneCellAnchor>
    <xdr:from>
      <xdr:col>2</xdr:col>
      <xdr:colOff>0</xdr:colOff>
      <xdr:row>100</xdr:row>
      <xdr:rowOff>0</xdr:rowOff>
    </xdr:from>
    <xdr:ext cx="168910" cy="457200"/>
    <xdr:sp macro="" textlink="">
      <xdr:nvSpPr>
        <xdr:cNvPr id="2" name="Text Box 9">
          <a:extLst>
            <a:ext uri="{FF2B5EF4-FFF2-40B4-BE49-F238E27FC236}">
              <a16:creationId xmlns:a16="http://schemas.microsoft.com/office/drawing/2014/main" id="{B40E09EE-DE2A-42A8-AF2D-BB4DA74E30F5}"/>
            </a:ext>
          </a:extLst>
        </xdr:cNvPr>
        <xdr:cNvSpPr txBox="1">
          <a:spLocks noChangeArrowheads="1"/>
        </xdr:cNvSpPr>
      </xdr:nvSpPr>
      <xdr:spPr bwMode="auto">
        <a:xfrm>
          <a:off x="293370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100</xdr:row>
      <xdr:rowOff>0</xdr:rowOff>
    </xdr:from>
    <xdr:ext cx="167005" cy="457200"/>
    <xdr:sp macro="" textlink="">
      <xdr:nvSpPr>
        <xdr:cNvPr id="3" name="Text Box 13">
          <a:extLst>
            <a:ext uri="{FF2B5EF4-FFF2-40B4-BE49-F238E27FC236}">
              <a16:creationId xmlns:a16="http://schemas.microsoft.com/office/drawing/2014/main" id="{39D0556F-8791-4C40-9F2A-2AC24FE41A2E}"/>
            </a:ext>
          </a:extLst>
        </xdr:cNvPr>
        <xdr:cNvSpPr txBox="1">
          <a:spLocks noChangeArrowheads="1"/>
        </xdr:cNvSpPr>
      </xdr:nvSpPr>
      <xdr:spPr bwMode="auto">
        <a:xfrm>
          <a:off x="112077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100</xdr:row>
      <xdr:rowOff>0</xdr:rowOff>
    </xdr:from>
    <xdr:ext cx="167005" cy="457200"/>
    <xdr:sp macro="" textlink="">
      <xdr:nvSpPr>
        <xdr:cNvPr id="4" name="Text Box 13">
          <a:extLst>
            <a:ext uri="{FF2B5EF4-FFF2-40B4-BE49-F238E27FC236}">
              <a16:creationId xmlns:a16="http://schemas.microsoft.com/office/drawing/2014/main" id="{F92588D0-A1C0-41CF-B295-CDCBC94D97F9}"/>
            </a:ext>
          </a:extLst>
        </xdr:cNvPr>
        <xdr:cNvSpPr txBox="1">
          <a:spLocks noChangeArrowheads="1"/>
        </xdr:cNvSpPr>
      </xdr:nvSpPr>
      <xdr:spPr bwMode="auto">
        <a:xfrm>
          <a:off x="112077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100</xdr:row>
      <xdr:rowOff>0</xdr:rowOff>
    </xdr:from>
    <xdr:ext cx="152400" cy="457200"/>
    <xdr:sp macro="" textlink="">
      <xdr:nvSpPr>
        <xdr:cNvPr id="5" name="Text Box 13">
          <a:extLst>
            <a:ext uri="{FF2B5EF4-FFF2-40B4-BE49-F238E27FC236}">
              <a16:creationId xmlns:a16="http://schemas.microsoft.com/office/drawing/2014/main" id="{4B814726-C8F7-46C9-817A-1A830C6C739A}"/>
            </a:ext>
          </a:extLst>
        </xdr:cNvPr>
        <xdr:cNvSpPr txBox="1">
          <a:spLocks noChangeArrowheads="1"/>
        </xdr:cNvSpPr>
      </xdr:nvSpPr>
      <xdr:spPr bwMode="auto">
        <a:xfrm>
          <a:off x="1118748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100</xdr:row>
      <xdr:rowOff>0</xdr:rowOff>
    </xdr:from>
    <xdr:ext cx="168910" cy="457200"/>
    <xdr:sp macro="" textlink="">
      <xdr:nvSpPr>
        <xdr:cNvPr id="6" name="Text Box 9">
          <a:extLst>
            <a:ext uri="{FF2B5EF4-FFF2-40B4-BE49-F238E27FC236}">
              <a16:creationId xmlns:a16="http://schemas.microsoft.com/office/drawing/2014/main" id="{4E6582FD-78B8-49CD-BB1B-4124E891B91D}"/>
            </a:ext>
          </a:extLst>
        </xdr:cNvPr>
        <xdr:cNvSpPr txBox="1">
          <a:spLocks noChangeArrowheads="1"/>
        </xdr:cNvSpPr>
      </xdr:nvSpPr>
      <xdr:spPr bwMode="auto">
        <a:xfrm>
          <a:off x="296430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97</xdr:row>
      <xdr:rowOff>10092</xdr:rowOff>
    </xdr:from>
    <xdr:to>
      <xdr:col>2</xdr:col>
      <xdr:colOff>210819</xdr:colOff>
      <xdr:row>97</xdr:row>
      <xdr:rowOff>149302</xdr:rowOff>
    </xdr:to>
    <xdr:pic>
      <xdr:nvPicPr>
        <xdr:cNvPr id="7" name="Picture 6">
          <a:extLst>
            <a:ext uri="{FF2B5EF4-FFF2-40B4-BE49-F238E27FC236}">
              <a16:creationId xmlns:a16="http://schemas.microsoft.com/office/drawing/2014/main" id="{D50481C2-46A7-41B6-A74F-EB5A5AF91620}"/>
            </a:ext>
          </a:extLst>
        </xdr:cNvPr>
        <xdr:cNvPicPr>
          <a:picLocks noChangeAspect="1"/>
        </xdr:cNvPicPr>
      </xdr:nvPicPr>
      <xdr:blipFill>
        <a:blip xmlns:r="http://schemas.openxmlformats.org/officeDocument/2006/relationships" r:embed="rId1"/>
        <a:stretch>
          <a:fillRect/>
        </a:stretch>
      </xdr:blipFill>
      <xdr:spPr>
        <a:xfrm>
          <a:off x="2971800" y="20266592"/>
          <a:ext cx="165099" cy="139210"/>
        </a:xfrm>
        <a:prstGeom prst="rect">
          <a:avLst/>
        </a:prstGeom>
      </xdr:spPr>
    </xdr:pic>
    <xdr:clientData/>
  </xdr:twoCellAnchor>
  <xdr:twoCellAnchor editAs="oneCell">
    <xdr:from>
      <xdr:col>3</xdr:col>
      <xdr:colOff>13710</xdr:colOff>
      <xdr:row>97</xdr:row>
      <xdr:rowOff>13986</xdr:rowOff>
    </xdr:from>
    <xdr:to>
      <xdr:col>3</xdr:col>
      <xdr:colOff>154322</xdr:colOff>
      <xdr:row>97</xdr:row>
      <xdr:rowOff>160346</xdr:rowOff>
    </xdr:to>
    <xdr:pic>
      <xdr:nvPicPr>
        <xdr:cNvPr id="8" name="Picture 7">
          <a:extLst>
            <a:ext uri="{FF2B5EF4-FFF2-40B4-BE49-F238E27FC236}">
              <a16:creationId xmlns:a16="http://schemas.microsoft.com/office/drawing/2014/main" id="{D3BFEC63-856A-4E98-B976-9EB6498AF857}"/>
            </a:ext>
          </a:extLst>
        </xdr:cNvPr>
        <xdr:cNvPicPr>
          <a:picLocks noChangeAspect="1"/>
        </xdr:cNvPicPr>
      </xdr:nvPicPr>
      <xdr:blipFill>
        <a:blip xmlns:r="http://schemas.openxmlformats.org/officeDocument/2006/relationships" r:embed="rId2"/>
        <a:stretch>
          <a:fillRect/>
        </a:stretch>
      </xdr:blipFill>
      <xdr:spPr>
        <a:xfrm>
          <a:off x="4363460" y="20270486"/>
          <a:ext cx="140612" cy="145725"/>
        </a:xfrm>
        <a:prstGeom prst="rect">
          <a:avLst/>
        </a:prstGeom>
      </xdr:spPr>
    </xdr:pic>
    <xdr:clientData/>
  </xdr:twoCellAnchor>
  <xdr:twoCellAnchor editAs="oneCell">
    <xdr:from>
      <xdr:col>4</xdr:col>
      <xdr:colOff>44450</xdr:colOff>
      <xdr:row>97</xdr:row>
      <xdr:rowOff>19130</xdr:rowOff>
    </xdr:from>
    <xdr:to>
      <xdr:col>4</xdr:col>
      <xdr:colOff>208280</xdr:colOff>
      <xdr:row>98</xdr:row>
      <xdr:rowOff>898</xdr:rowOff>
    </xdr:to>
    <xdr:pic>
      <xdr:nvPicPr>
        <xdr:cNvPr id="9" name="Picture 8">
          <a:extLst>
            <a:ext uri="{FF2B5EF4-FFF2-40B4-BE49-F238E27FC236}">
              <a16:creationId xmlns:a16="http://schemas.microsoft.com/office/drawing/2014/main" id="{E19A1013-A0D9-4474-A0A8-87AD24E08E19}"/>
            </a:ext>
          </a:extLst>
        </xdr:cNvPr>
        <xdr:cNvPicPr>
          <a:picLocks noChangeAspect="1"/>
        </xdr:cNvPicPr>
      </xdr:nvPicPr>
      <xdr:blipFill>
        <a:blip xmlns:r="http://schemas.openxmlformats.org/officeDocument/2006/relationships" r:embed="rId3"/>
        <a:stretch>
          <a:fillRect/>
        </a:stretch>
      </xdr:blipFill>
      <xdr:spPr>
        <a:xfrm flipV="1">
          <a:off x="5772150" y="20275630"/>
          <a:ext cx="171450" cy="165918"/>
        </a:xfrm>
        <a:prstGeom prst="rect">
          <a:avLst/>
        </a:prstGeom>
      </xdr:spPr>
    </xdr:pic>
    <xdr:clientData/>
  </xdr:twoCellAnchor>
  <xdr:oneCellAnchor>
    <xdr:from>
      <xdr:col>1</xdr:col>
      <xdr:colOff>20248</xdr:colOff>
      <xdr:row>97</xdr:row>
      <xdr:rowOff>8127</xdr:rowOff>
    </xdr:from>
    <xdr:ext cx="199069" cy="170387"/>
    <xdr:pic>
      <xdr:nvPicPr>
        <xdr:cNvPr id="10" name="Picture 9">
          <a:extLst>
            <a:ext uri="{FF2B5EF4-FFF2-40B4-BE49-F238E27FC236}">
              <a16:creationId xmlns:a16="http://schemas.microsoft.com/office/drawing/2014/main" id="{063EA45B-CCC8-47AC-8B2B-6A1B60704893}"/>
            </a:ext>
          </a:extLst>
        </xdr:cNvPr>
        <xdr:cNvPicPr>
          <a:picLocks noChangeAspect="1"/>
        </xdr:cNvPicPr>
      </xdr:nvPicPr>
      <xdr:blipFill>
        <a:blip xmlns:r="http://schemas.openxmlformats.org/officeDocument/2006/relationships" r:embed="rId4"/>
        <a:stretch>
          <a:fillRect/>
        </a:stretch>
      </xdr:blipFill>
      <xdr:spPr>
        <a:xfrm>
          <a:off x="1398198" y="20264627"/>
          <a:ext cx="199069" cy="170387"/>
        </a:xfrm>
        <a:prstGeom prst="rect">
          <a:avLst/>
        </a:prstGeom>
      </xdr:spPr>
    </xdr:pic>
    <xdr:clientData/>
  </xdr:oneCellAnchor>
  <xdr:twoCellAnchor editAs="oneCell">
    <xdr:from>
      <xdr:col>0</xdr:col>
      <xdr:colOff>0</xdr:colOff>
      <xdr:row>97</xdr:row>
      <xdr:rowOff>7863</xdr:rowOff>
    </xdr:from>
    <xdr:to>
      <xdr:col>0</xdr:col>
      <xdr:colOff>208786</xdr:colOff>
      <xdr:row>98</xdr:row>
      <xdr:rowOff>248</xdr:rowOff>
    </xdr:to>
    <xdr:pic>
      <xdr:nvPicPr>
        <xdr:cNvPr id="11" name="Picture 10">
          <a:extLst>
            <a:ext uri="{FF2B5EF4-FFF2-40B4-BE49-F238E27FC236}">
              <a16:creationId xmlns:a16="http://schemas.microsoft.com/office/drawing/2014/main" id="{26FECAB2-88B9-4429-ABE4-90D79003F564}"/>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0</xdr:col>
      <xdr:colOff>30010</xdr:colOff>
      <xdr:row>29</xdr:row>
      <xdr:rowOff>25935</xdr:rowOff>
    </xdr:from>
    <xdr:to>
      <xdr:col>2</xdr:col>
      <xdr:colOff>531812</xdr:colOff>
      <xdr:row>43</xdr:row>
      <xdr:rowOff>158750</xdr:rowOff>
    </xdr:to>
    <xdr:grpSp>
      <xdr:nvGrpSpPr>
        <xdr:cNvPr id="30" name="Group 11">
          <a:extLst>
            <a:ext uri="{FF2B5EF4-FFF2-40B4-BE49-F238E27FC236}">
              <a16:creationId xmlns:a16="http://schemas.microsoft.com/office/drawing/2014/main" id="{CEE63939-ED7E-4015-8B69-39283D655705}"/>
            </a:ext>
          </a:extLst>
        </xdr:cNvPr>
        <xdr:cNvGrpSpPr/>
      </xdr:nvGrpSpPr>
      <xdr:grpSpPr>
        <a:xfrm>
          <a:off x="30010" y="5979060"/>
          <a:ext cx="3568852" cy="2666465"/>
          <a:chOff x="77635" y="5406915"/>
          <a:chExt cx="2829628" cy="2158877"/>
        </a:xfrm>
      </xdr:grpSpPr>
      <xdr:graphicFrame macro="">
        <xdr:nvGraphicFramePr>
          <xdr:cNvPr id="31" name="Chart 12">
            <a:extLst>
              <a:ext uri="{FF2B5EF4-FFF2-40B4-BE49-F238E27FC236}">
                <a16:creationId xmlns:a16="http://schemas.microsoft.com/office/drawing/2014/main" id="{3FBBF0A8-3239-EDF3-49A1-7AFBE7D5EC96}"/>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32" name="TextBox 13">
            <a:extLst>
              <a:ext uri="{FF2B5EF4-FFF2-40B4-BE49-F238E27FC236}">
                <a16:creationId xmlns:a16="http://schemas.microsoft.com/office/drawing/2014/main" id="{DAD4F556-F63F-A7DF-B05C-7B2B9CD3F93B}"/>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Market Visibility</a:t>
            </a:fld>
            <a:endParaRPr lang="en-IN" sz="1800" b="1"/>
          </a:p>
        </xdr:txBody>
      </xdr:sp>
    </xdr:grpSp>
    <xdr:clientData/>
  </xdr:twoCellAnchor>
  <xdr:twoCellAnchor>
    <xdr:from>
      <xdr:col>2</xdr:col>
      <xdr:colOff>584545</xdr:colOff>
      <xdr:row>29</xdr:row>
      <xdr:rowOff>25400</xdr:rowOff>
    </xdr:from>
    <xdr:to>
      <xdr:col>4</xdr:col>
      <xdr:colOff>1399592</xdr:colOff>
      <xdr:row>43</xdr:row>
      <xdr:rowOff>129592</xdr:rowOff>
    </xdr:to>
    <xdr:grpSp>
      <xdr:nvGrpSpPr>
        <xdr:cNvPr id="36" name="Group 14">
          <a:extLst>
            <a:ext uri="{FF2B5EF4-FFF2-40B4-BE49-F238E27FC236}">
              <a16:creationId xmlns:a16="http://schemas.microsoft.com/office/drawing/2014/main" id="{FE1F9845-5E94-449C-B01F-0A38B65648E1}"/>
            </a:ext>
          </a:extLst>
        </xdr:cNvPr>
        <xdr:cNvGrpSpPr/>
      </xdr:nvGrpSpPr>
      <xdr:grpSpPr>
        <a:xfrm>
          <a:off x="3651595" y="5978525"/>
          <a:ext cx="3482047" cy="2637842"/>
          <a:chOff x="2905974" y="5419664"/>
          <a:chExt cx="3092518" cy="2147057"/>
        </a:xfrm>
      </xdr:grpSpPr>
      <xdr:graphicFrame macro="">
        <xdr:nvGraphicFramePr>
          <xdr:cNvPr id="37" name="Chart 15">
            <a:extLst>
              <a:ext uri="{FF2B5EF4-FFF2-40B4-BE49-F238E27FC236}">
                <a16:creationId xmlns:a16="http://schemas.microsoft.com/office/drawing/2014/main" id="{AD07B437-3FDE-14DA-5185-8B5F490F1172}"/>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38" name="TextBox 16">
            <a:extLst>
              <a:ext uri="{FF2B5EF4-FFF2-40B4-BE49-F238E27FC236}">
                <a16:creationId xmlns:a16="http://schemas.microsoft.com/office/drawing/2014/main" id="{7ED5E2C0-AADA-37B2-0BB1-E53D841A960A}"/>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EOL IB Visibility</a:t>
            </a:fld>
            <a:endParaRPr lang="en-IN" sz="1800" b="1"/>
          </a:p>
        </xdr:txBody>
      </xdr:sp>
    </xdr:grpSp>
    <xdr:clientData/>
  </xdr:twoCellAnchor>
  <xdr:twoCellAnchor>
    <xdr:from>
      <xdr:col>4</xdr:col>
      <xdr:colOff>1464113</xdr:colOff>
      <xdr:row>29</xdr:row>
      <xdr:rowOff>28380</xdr:rowOff>
    </xdr:from>
    <xdr:to>
      <xdr:col>8</xdr:col>
      <xdr:colOff>440612</xdr:colOff>
      <xdr:row>43</xdr:row>
      <xdr:rowOff>84234</xdr:rowOff>
    </xdr:to>
    <xdr:grpSp>
      <xdr:nvGrpSpPr>
        <xdr:cNvPr id="39" name="Group 17">
          <a:extLst>
            <a:ext uri="{FF2B5EF4-FFF2-40B4-BE49-F238E27FC236}">
              <a16:creationId xmlns:a16="http://schemas.microsoft.com/office/drawing/2014/main" id="{B60E52B9-320B-435B-9649-FF77466A2D32}"/>
            </a:ext>
          </a:extLst>
        </xdr:cNvPr>
        <xdr:cNvGrpSpPr/>
      </xdr:nvGrpSpPr>
      <xdr:grpSpPr>
        <a:xfrm>
          <a:off x="7198163" y="5981505"/>
          <a:ext cx="3338949" cy="2589504"/>
          <a:chOff x="5810561" y="5397766"/>
          <a:chExt cx="2667443" cy="2269965"/>
        </a:xfrm>
      </xdr:grpSpPr>
      <xdr:graphicFrame macro="">
        <xdr:nvGraphicFramePr>
          <xdr:cNvPr id="40" name="Chart 18">
            <a:extLst>
              <a:ext uri="{FF2B5EF4-FFF2-40B4-BE49-F238E27FC236}">
                <a16:creationId xmlns:a16="http://schemas.microsoft.com/office/drawing/2014/main" id="{30A7DBB5-2C9C-C8CB-093D-D39BE08EC75D}"/>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41" name="TextBox 19">
            <a:extLst>
              <a:ext uri="{FF2B5EF4-FFF2-40B4-BE49-F238E27FC236}">
                <a16:creationId xmlns:a16="http://schemas.microsoft.com/office/drawing/2014/main" id="{9C24451E-E06F-8F13-AA81-B0794806D702}"/>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Funnel Coverage</a:t>
            </a:fld>
            <a:endParaRPr lang="en-IN" sz="1800" b="1"/>
          </a:p>
        </xdr:txBody>
      </xdr:sp>
    </xdr:grpSp>
    <xdr:clientData/>
  </xdr:twoCellAnchor>
  <xdr:twoCellAnchor>
    <xdr:from>
      <xdr:col>8</xdr:col>
      <xdr:colOff>483863</xdr:colOff>
      <xdr:row>29</xdr:row>
      <xdr:rowOff>0</xdr:rowOff>
    </xdr:from>
    <xdr:to>
      <xdr:col>11</xdr:col>
      <xdr:colOff>1134251</xdr:colOff>
      <xdr:row>43</xdr:row>
      <xdr:rowOff>142876</xdr:rowOff>
    </xdr:to>
    <xdr:grpSp>
      <xdr:nvGrpSpPr>
        <xdr:cNvPr id="45" name="Group 20">
          <a:extLst>
            <a:ext uri="{FF2B5EF4-FFF2-40B4-BE49-F238E27FC236}">
              <a16:creationId xmlns:a16="http://schemas.microsoft.com/office/drawing/2014/main" id="{D5CDDC37-DDA3-4588-AEFE-96266AF2ED66}"/>
            </a:ext>
            <a:ext uri="{147F2762-F138-4A5C-976F-8EAC2B608ADB}">
              <a16:predDERef xmlns:a16="http://schemas.microsoft.com/office/drawing/2014/main" pred="{B60E52B9-320B-435B-9649-FF77466A2D32}"/>
            </a:ext>
          </a:extLst>
        </xdr:cNvPr>
        <xdr:cNvGrpSpPr/>
      </xdr:nvGrpSpPr>
      <xdr:grpSpPr>
        <a:xfrm>
          <a:off x="10580363" y="5953125"/>
          <a:ext cx="3879363" cy="2676526"/>
          <a:chOff x="8567036" y="5412365"/>
          <a:chExt cx="2683519" cy="2171271"/>
        </a:xfrm>
      </xdr:grpSpPr>
      <xdr:graphicFrame macro="">
        <xdr:nvGraphicFramePr>
          <xdr:cNvPr id="46" name="Chart 21">
            <a:extLst>
              <a:ext uri="{FF2B5EF4-FFF2-40B4-BE49-F238E27FC236}">
                <a16:creationId xmlns:a16="http://schemas.microsoft.com/office/drawing/2014/main" id="{03871334-51C4-262A-69C5-CDEF0EBEDBAC}"/>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47" name="TextBox 22">
            <a:extLst>
              <a:ext uri="{FF2B5EF4-FFF2-40B4-BE49-F238E27FC236}">
                <a16:creationId xmlns:a16="http://schemas.microsoft.com/office/drawing/2014/main" id="{1506CD03-34F4-D656-F3A7-54656E6756F8}"/>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0CBC7D-B506-4CF5-A661-B4090860F931}" type="TxLink">
              <a:rPr lang="en-US" sz="1200" b="1" i="0" u="none" strike="noStrike">
                <a:solidFill>
                  <a:srgbClr val="000000"/>
                </a:solidFill>
                <a:latin typeface="Calibri"/>
                <a:ea typeface="Calibri"/>
                <a:cs typeface="Calibri"/>
              </a:rPr>
              <a:pPr algn="ctr"/>
              <a:t>EQ Win-rate</a:t>
            </a:fld>
            <a:endParaRPr lang="en-IN" sz="1800" b="1"/>
          </a:p>
        </xdr:txBody>
      </xdr:sp>
    </xdr:grpSp>
    <xdr:clientData/>
  </xdr:twoCellAnchor>
  <xdr:twoCellAnchor>
    <xdr:from>
      <xdr:col>12</xdr:col>
      <xdr:colOff>75398</xdr:colOff>
      <xdr:row>29</xdr:row>
      <xdr:rowOff>12700</xdr:rowOff>
    </xdr:from>
    <xdr:to>
      <xdr:col>15</xdr:col>
      <xdr:colOff>689299</xdr:colOff>
      <xdr:row>43</xdr:row>
      <xdr:rowOff>150813</xdr:rowOff>
    </xdr:to>
    <xdr:grpSp>
      <xdr:nvGrpSpPr>
        <xdr:cNvPr id="24" name="Group 23">
          <a:extLst>
            <a:ext uri="{FF2B5EF4-FFF2-40B4-BE49-F238E27FC236}">
              <a16:creationId xmlns:a16="http://schemas.microsoft.com/office/drawing/2014/main" id="{E658896C-2C6E-4581-82EC-1D219C9D8F5D}"/>
            </a:ext>
          </a:extLst>
        </xdr:cNvPr>
        <xdr:cNvGrpSpPr/>
      </xdr:nvGrpSpPr>
      <xdr:grpSpPr>
        <a:xfrm>
          <a:off x="14534348" y="5965825"/>
          <a:ext cx="3852401" cy="2671763"/>
          <a:chOff x="11292890" y="5778019"/>
          <a:chExt cx="2950193" cy="2149373"/>
        </a:xfrm>
      </xdr:grpSpPr>
      <xdr:graphicFrame macro="">
        <xdr:nvGraphicFramePr>
          <xdr:cNvPr id="25" name="Chart 24">
            <a:extLst>
              <a:ext uri="{FF2B5EF4-FFF2-40B4-BE49-F238E27FC236}">
                <a16:creationId xmlns:a16="http://schemas.microsoft.com/office/drawing/2014/main" id="{26F557F9-B59C-C46F-E10F-11743809F658}"/>
              </a:ext>
            </a:extLst>
          </xdr:cNvPr>
          <xdr:cNvGraphicFramePr/>
        </xdr:nvGraphicFramePr>
        <xdr:xfrm>
          <a:off x="11292890" y="5778019"/>
          <a:ext cx="2950193" cy="2149373"/>
        </xdr:xfrm>
        <a:graphic>
          <a:graphicData uri="http://schemas.openxmlformats.org/drawingml/2006/chart">
            <c:chart xmlns:c="http://schemas.openxmlformats.org/drawingml/2006/chart" xmlns:r="http://schemas.openxmlformats.org/officeDocument/2006/relationships" r:id="rId10"/>
          </a:graphicData>
        </a:graphic>
      </xdr:graphicFrame>
      <xdr:sp macro="" textlink="$A$24">
        <xdr:nvSpPr>
          <xdr:cNvPr id="26" name="TextBox 25">
            <a:extLst>
              <a:ext uri="{FF2B5EF4-FFF2-40B4-BE49-F238E27FC236}">
                <a16:creationId xmlns:a16="http://schemas.microsoft.com/office/drawing/2014/main" id="{22393182-9422-8622-A786-7A1DF723D569}"/>
              </a:ext>
            </a:extLst>
          </xdr:cNvPr>
          <xdr:cNvSpPr txBox="1"/>
        </xdr:nvSpPr>
        <xdr:spPr>
          <a:xfrm>
            <a:off x="11509061" y="5792438"/>
            <a:ext cx="2511855" cy="23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E59D4C-022E-44B1-88EC-EAABEA128431}" type="TxLink">
              <a:rPr lang="en-US" sz="1200" b="1" i="0" u="none" strike="noStrike">
                <a:solidFill>
                  <a:srgbClr val="000000"/>
                </a:solidFill>
                <a:latin typeface="Calibri"/>
                <a:ea typeface="Calibri"/>
                <a:cs typeface="Calibri"/>
              </a:rPr>
              <a:pPr algn="ctr"/>
              <a:t>PoS Attachment Rate</a:t>
            </a:fld>
            <a:endParaRPr lang="en-IN" sz="1800" b="1"/>
          </a:p>
        </xdr:txBody>
      </xdr:sp>
    </xdr:grpSp>
    <xdr:clientData/>
  </xdr:twoCellAnchor>
  <xdr:twoCellAnchor>
    <xdr:from>
      <xdr:col>15</xdr:col>
      <xdr:colOff>781857</xdr:colOff>
      <xdr:row>29</xdr:row>
      <xdr:rowOff>2622</xdr:rowOff>
    </xdr:from>
    <xdr:to>
      <xdr:col>19</xdr:col>
      <xdr:colOff>583422</xdr:colOff>
      <xdr:row>43</xdr:row>
      <xdr:rowOff>140737</xdr:rowOff>
    </xdr:to>
    <xdr:grpSp>
      <xdr:nvGrpSpPr>
        <xdr:cNvPr id="27" name="Group 26">
          <a:extLst>
            <a:ext uri="{FF2B5EF4-FFF2-40B4-BE49-F238E27FC236}">
              <a16:creationId xmlns:a16="http://schemas.microsoft.com/office/drawing/2014/main" id="{D1127AC3-93A1-4AB5-9739-0F3626C610EE}"/>
            </a:ext>
          </a:extLst>
        </xdr:cNvPr>
        <xdr:cNvGrpSpPr/>
      </xdr:nvGrpSpPr>
      <xdr:grpSpPr>
        <a:xfrm>
          <a:off x="18479307" y="5955747"/>
          <a:ext cx="3878265" cy="2671765"/>
          <a:chOff x="14383240" y="5433345"/>
          <a:chExt cx="2349106" cy="2083197"/>
        </a:xfrm>
      </xdr:grpSpPr>
      <xdr:graphicFrame macro="">
        <xdr:nvGraphicFramePr>
          <xdr:cNvPr id="28" name="Chart 27">
            <a:extLst>
              <a:ext uri="{FF2B5EF4-FFF2-40B4-BE49-F238E27FC236}">
                <a16:creationId xmlns:a16="http://schemas.microsoft.com/office/drawing/2014/main" id="{E0A608C3-E455-BAF6-51AD-2506D05BB688}"/>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11"/>
          </a:graphicData>
        </a:graphic>
      </xdr:graphicFrame>
      <xdr:sp macro="" textlink="$A$26">
        <xdr:nvSpPr>
          <xdr:cNvPr id="29" name="TextBox 28">
            <a:extLst>
              <a:ext uri="{FF2B5EF4-FFF2-40B4-BE49-F238E27FC236}">
                <a16:creationId xmlns:a16="http://schemas.microsoft.com/office/drawing/2014/main" id="{4703B100-1BD1-814A-B9C1-CD6F4FBB8A89}"/>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A950B5-7123-4044-B4C3-F7177EBD93F4}" type="TxLink">
              <a:rPr lang="en-US" sz="1200" b="1" i="0" u="none" strike="noStrike">
                <a:solidFill>
                  <a:srgbClr val="000000"/>
                </a:solidFill>
                <a:latin typeface="Calibri"/>
                <a:ea typeface="Calibri"/>
                <a:cs typeface="Calibri"/>
              </a:rPr>
              <a:pPr algn="ctr"/>
              <a:t> Profitability</a:t>
            </a:fld>
            <a:endParaRPr lang="en-IN" sz="1800" b="1"/>
          </a:p>
        </xdr:txBody>
      </xdr:sp>
    </xdr:grpSp>
    <xdr:clientData/>
  </xdr:twoCellAnchor>
  <xdr:twoCellAnchor>
    <xdr:from>
      <xdr:col>0</xdr:col>
      <xdr:colOff>0</xdr:colOff>
      <xdr:row>68</xdr:row>
      <xdr:rowOff>23585</xdr:rowOff>
    </xdr:from>
    <xdr:to>
      <xdr:col>2</xdr:col>
      <xdr:colOff>1183765</xdr:colOff>
      <xdr:row>82</xdr:row>
      <xdr:rowOff>109753</xdr:rowOff>
    </xdr:to>
    <xdr:grpSp>
      <xdr:nvGrpSpPr>
        <xdr:cNvPr id="132" name="Group 29">
          <a:extLst>
            <a:ext uri="{FF2B5EF4-FFF2-40B4-BE49-F238E27FC236}">
              <a16:creationId xmlns:a16="http://schemas.microsoft.com/office/drawing/2014/main" id="{206436D9-8951-40B8-878C-D595DA088749}"/>
            </a:ext>
          </a:extLst>
        </xdr:cNvPr>
        <xdr:cNvGrpSpPr/>
      </xdr:nvGrpSpPr>
      <xdr:grpSpPr>
        <a:xfrm>
          <a:off x="0" y="14339660"/>
          <a:ext cx="4250815"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133" name="Chart 30">
                <a:extLst>
                  <a:ext uri="{FF2B5EF4-FFF2-40B4-BE49-F238E27FC236}">
                    <a16:creationId xmlns:a16="http://schemas.microsoft.com/office/drawing/2014/main" id="{AEAAE52E-C6D7-FF0A-16F3-4830D1E4B06D}"/>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1">
        <xdr:nvSpPr>
          <xdr:cNvPr id="134" name="TextBox 31">
            <a:extLst>
              <a:ext uri="{FF2B5EF4-FFF2-40B4-BE49-F238E27FC236}">
                <a16:creationId xmlns:a16="http://schemas.microsoft.com/office/drawing/2014/main" id="{167E3770-C7D3-D2A2-E814-1228A3750D4E}"/>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DEFOA</a:t>
            </a:fld>
            <a:endParaRPr lang="en-IN" sz="1600" b="1"/>
          </a:p>
        </xdr:txBody>
      </xdr:sp>
    </xdr:grpSp>
    <xdr:clientData/>
  </xdr:twoCellAnchor>
  <xdr:twoCellAnchor>
    <xdr:from>
      <xdr:col>2</xdr:col>
      <xdr:colOff>1249382</xdr:colOff>
      <xdr:row>67</xdr:row>
      <xdr:rowOff>257956</xdr:rowOff>
    </xdr:from>
    <xdr:to>
      <xdr:col>5</xdr:col>
      <xdr:colOff>932901</xdr:colOff>
      <xdr:row>82</xdr:row>
      <xdr:rowOff>125432</xdr:rowOff>
    </xdr:to>
    <xdr:grpSp>
      <xdr:nvGrpSpPr>
        <xdr:cNvPr id="120" name="Group 32">
          <a:extLst>
            <a:ext uri="{FF2B5EF4-FFF2-40B4-BE49-F238E27FC236}">
              <a16:creationId xmlns:a16="http://schemas.microsoft.com/office/drawing/2014/main" id="{51C236F6-192B-4713-A7C4-F0DD8415D33D}"/>
            </a:ext>
          </a:extLst>
        </xdr:cNvPr>
        <xdr:cNvGrpSpPr/>
      </xdr:nvGrpSpPr>
      <xdr:grpSpPr>
        <a:xfrm>
          <a:off x="4316432" y="14307331"/>
          <a:ext cx="3855469"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121" name="Chart 33">
                <a:extLst>
                  <a:ext uri="{FF2B5EF4-FFF2-40B4-BE49-F238E27FC236}">
                    <a16:creationId xmlns:a16="http://schemas.microsoft.com/office/drawing/2014/main" id="{017EFF6F-5277-D969-68AF-CF18CA29695B}"/>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4">
        <xdr:nvSpPr>
          <xdr:cNvPr id="122" name="TextBox 34">
            <a:extLst>
              <a:ext uri="{FF2B5EF4-FFF2-40B4-BE49-F238E27FC236}">
                <a16:creationId xmlns:a16="http://schemas.microsoft.com/office/drawing/2014/main" id="{19A01625-118D-CB55-7178-B2C13708F0E2}"/>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 </a:t>
            </a:fld>
            <a:endParaRPr lang="en-IN" sz="1600" b="1"/>
          </a:p>
        </xdr:txBody>
      </xdr:sp>
    </xdr:grpSp>
    <xdr:clientData/>
  </xdr:twoCellAnchor>
  <xdr:twoCellAnchor>
    <xdr:from>
      <xdr:col>5</xdr:col>
      <xdr:colOff>1003064</xdr:colOff>
      <xdr:row>68</xdr:row>
      <xdr:rowOff>15312</xdr:rowOff>
    </xdr:from>
    <xdr:to>
      <xdr:col>9</xdr:col>
      <xdr:colOff>611482</xdr:colOff>
      <xdr:row>82</xdr:row>
      <xdr:rowOff>125432</xdr:rowOff>
    </xdr:to>
    <xdr:grpSp>
      <xdr:nvGrpSpPr>
        <xdr:cNvPr id="123" name="Group 35">
          <a:extLst>
            <a:ext uri="{FF2B5EF4-FFF2-40B4-BE49-F238E27FC236}">
              <a16:creationId xmlns:a16="http://schemas.microsoft.com/office/drawing/2014/main" id="{40875393-CC24-4FF2-BE53-89643B7B7A9D}"/>
            </a:ext>
          </a:extLst>
        </xdr:cNvPr>
        <xdr:cNvGrpSpPr/>
      </xdr:nvGrpSpPr>
      <xdr:grpSpPr>
        <a:xfrm>
          <a:off x="8242064" y="14331387"/>
          <a:ext cx="3494618"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24" name="Chart 36">
                <a:extLst>
                  <a:ext uri="{FF2B5EF4-FFF2-40B4-BE49-F238E27FC236}">
                    <a16:creationId xmlns:a16="http://schemas.microsoft.com/office/drawing/2014/main" id="{0B018F39-AF63-2DE8-557F-2418EF2811CB}"/>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125" name="TextBox 37">
            <a:extLst>
              <a:ext uri="{FF2B5EF4-FFF2-40B4-BE49-F238E27FC236}">
                <a16:creationId xmlns:a16="http://schemas.microsoft.com/office/drawing/2014/main" id="{7570857B-E001-A58E-2AD6-C417BDE4C50B}"/>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9</xdr:col>
      <xdr:colOff>658518</xdr:colOff>
      <xdr:row>67</xdr:row>
      <xdr:rowOff>266376</xdr:rowOff>
    </xdr:from>
    <xdr:to>
      <xdr:col>13</xdr:col>
      <xdr:colOff>7762</xdr:colOff>
      <xdr:row>82</xdr:row>
      <xdr:rowOff>94074</xdr:rowOff>
    </xdr:to>
    <xdr:grpSp>
      <xdr:nvGrpSpPr>
        <xdr:cNvPr id="126" name="Group 38">
          <a:extLst>
            <a:ext uri="{FF2B5EF4-FFF2-40B4-BE49-F238E27FC236}">
              <a16:creationId xmlns:a16="http://schemas.microsoft.com/office/drawing/2014/main" id="{F853D6EC-48DF-43A2-B817-A23185D9EFD6}"/>
            </a:ext>
          </a:extLst>
        </xdr:cNvPr>
        <xdr:cNvGrpSpPr/>
      </xdr:nvGrpSpPr>
      <xdr:grpSpPr>
        <a:xfrm>
          <a:off x="11783718" y="14315751"/>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127" name="Chart 39">
                <a:extLst>
                  <a:ext uri="{FF2B5EF4-FFF2-40B4-BE49-F238E27FC236}">
                    <a16:creationId xmlns:a16="http://schemas.microsoft.com/office/drawing/2014/main" id="{1EA4DF69-363D-477B-83C7-F66B47A663F9}"/>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0">
        <xdr:nvSpPr>
          <xdr:cNvPr id="128" name="TextBox 40">
            <a:extLst>
              <a:ext uri="{FF2B5EF4-FFF2-40B4-BE49-F238E27FC236}">
                <a16:creationId xmlns:a16="http://schemas.microsoft.com/office/drawing/2014/main" id="{D5979D9D-3E1E-41B1-5DE1-55807FF0FD54}"/>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13</xdr:col>
      <xdr:colOff>54876</xdr:colOff>
      <xdr:row>67</xdr:row>
      <xdr:rowOff>233461</xdr:rowOff>
    </xdr:from>
    <xdr:to>
      <xdr:col>16</xdr:col>
      <xdr:colOff>266543</xdr:colOff>
      <xdr:row>82</xdr:row>
      <xdr:rowOff>94074</xdr:rowOff>
    </xdr:to>
    <xdr:grpSp>
      <xdr:nvGrpSpPr>
        <xdr:cNvPr id="129" name="Group 41">
          <a:extLst>
            <a:ext uri="{FF2B5EF4-FFF2-40B4-BE49-F238E27FC236}">
              <a16:creationId xmlns:a16="http://schemas.microsoft.com/office/drawing/2014/main" id="{9143ED53-CFC6-405D-8686-5347819DC643}"/>
            </a:ext>
          </a:extLst>
        </xdr:cNvPr>
        <xdr:cNvGrpSpPr/>
      </xdr:nvGrpSpPr>
      <xdr:grpSpPr>
        <a:xfrm>
          <a:off x="15552051" y="14282836"/>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130" name="Chart 42">
                <a:extLst>
                  <a:ext uri="{FF2B5EF4-FFF2-40B4-BE49-F238E27FC236}">
                    <a16:creationId xmlns:a16="http://schemas.microsoft.com/office/drawing/2014/main" id="{14375A9C-D1BA-B010-51B8-493B9FF8143A}"/>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3">
        <xdr:nvSpPr>
          <xdr:cNvPr id="131" name="TextBox 43">
            <a:extLst>
              <a:ext uri="{FF2B5EF4-FFF2-40B4-BE49-F238E27FC236}">
                <a16:creationId xmlns:a16="http://schemas.microsoft.com/office/drawing/2014/main" id="{7B971AAE-7992-58DC-F773-A6BE6BB174BD}"/>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67</xdr:row>
      <xdr:rowOff>232552</xdr:rowOff>
    </xdr:from>
    <xdr:to>
      <xdr:col>20</xdr:col>
      <xdr:colOff>31358</xdr:colOff>
      <xdr:row>82</xdr:row>
      <xdr:rowOff>117593</xdr:rowOff>
    </xdr:to>
    <xdr:grpSp>
      <xdr:nvGrpSpPr>
        <xdr:cNvPr id="135" name="Group 44">
          <a:extLst>
            <a:ext uri="{FF2B5EF4-FFF2-40B4-BE49-F238E27FC236}">
              <a16:creationId xmlns:a16="http://schemas.microsoft.com/office/drawing/2014/main" id="{B73B63CF-1227-49D7-A785-347F914586E6}"/>
            </a:ext>
          </a:extLst>
        </xdr:cNvPr>
        <xdr:cNvGrpSpPr/>
      </xdr:nvGrpSpPr>
      <xdr:grpSpPr>
        <a:xfrm>
          <a:off x="19198285" y="14281927"/>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36" name="Chart 45">
                <a:extLst>
                  <a:ext uri="{FF2B5EF4-FFF2-40B4-BE49-F238E27FC236}">
                    <a16:creationId xmlns:a16="http://schemas.microsoft.com/office/drawing/2014/main" id="{ED1A64DD-DAE7-3FE0-1E50-B853A045BEB4}"/>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6">
        <xdr:nvSpPr>
          <xdr:cNvPr id="137" name="TextBox 46">
            <a:extLst>
              <a:ext uri="{FF2B5EF4-FFF2-40B4-BE49-F238E27FC236}">
                <a16:creationId xmlns:a16="http://schemas.microsoft.com/office/drawing/2014/main" id="{036C0A5F-ADDD-6217-4C62-1390A4833805}"/>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wsDr>
</file>

<file path=xl/drawings/drawing14.xml><?xml version="1.0" encoding="utf-8"?>
<xdr:wsDr xmlns:xdr="http://schemas.openxmlformats.org/drawingml/2006/spreadsheetDrawing" xmlns:a="http://schemas.openxmlformats.org/drawingml/2006/main">
  <xdr:oneCellAnchor>
    <xdr:from>
      <xdr:col>2</xdr:col>
      <xdr:colOff>0</xdr:colOff>
      <xdr:row>98</xdr:row>
      <xdr:rowOff>0</xdr:rowOff>
    </xdr:from>
    <xdr:ext cx="168910" cy="457200"/>
    <xdr:sp macro="" textlink="">
      <xdr:nvSpPr>
        <xdr:cNvPr id="2" name="Text Box 9">
          <a:extLst>
            <a:ext uri="{FF2B5EF4-FFF2-40B4-BE49-F238E27FC236}">
              <a16:creationId xmlns:a16="http://schemas.microsoft.com/office/drawing/2014/main" id="{87BDA62D-1520-4714-858D-AA88DFF8A0E1}"/>
            </a:ext>
          </a:extLst>
        </xdr:cNvPr>
        <xdr:cNvSpPr txBox="1">
          <a:spLocks noChangeArrowheads="1"/>
        </xdr:cNvSpPr>
      </xdr:nvSpPr>
      <xdr:spPr bwMode="auto">
        <a:xfrm>
          <a:off x="301625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98</xdr:row>
      <xdr:rowOff>0</xdr:rowOff>
    </xdr:from>
    <xdr:ext cx="167005" cy="457200"/>
    <xdr:sp macro="" textlink="">
      <xdr:nvSpPr>
        <xdr:cNvPr id="3" name="Text Box 13">
          <a:extLst>
            <a:ext uri="{FF2B5EF4-FFF2-40B4-BE49-F238E27FC236}">
              <a16:creationId xmlns:a16="http://schemas.microsoft.com/office/drawing/2014/main" id="{8686B022-38B4-4E73-BC37-876BBF94BCB6}"/>
            </a:ext>
          </a:extLst>
        </xdr:cNvPr>
        <xdr:cNvSpPr txBox="1">
          <a:spLocks noChangeArrowheads="1"/>
        </xdr:cNvSpPr>
      </xdr:nvSpPr>
      <xdr:spPr bwMode="auto">
        <a:xfrm>
          <a:off x="1116330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98</xdr:row>
      <xdr:rowOff>0</xdr:rowOff>
    </xdr:from>
    <xdr:ext cx="167005" cy="457200"/>
    <xdr:sp macro="" textlink="">
      <xdr:nvSpPr>
        <xdr:cNvPr id="4" name="Text Box 13">
          <a:extLst>
            <a:ext uri="{FF2B5EF4-FFF2-40B4-BE49-F238E27FC236}">
              <a16:creationId xmlns:a16="http://schemas.microsoft.com/office/drawing/2014/main" id="{3A2C89A3-0B98-496F-B5DB-643F49C89981}"/>
            </a:ext>
          </a:extLst>
        </xdr:cNvPr>
        <xdr:cNvSpPr txBox="1">
          <a:spLocks noChangeArrowheads="1"/>
        </xdr:cNvSpPr>
      </xdr:nvSpPr>
      <xdr:spPr bwMode="auto">
        <a:xfrm>
          <a:off x="1116330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98</xdr:row>
      <xdr:rowOff>0</xdr:rowOff>
    </xdr:from>
    <xdr:ext cx="152400" cy="457200"/>
    <xdr:sp macro="" textlink="">
      <xdr:nvSpPr>
        <xdr:cNvPr id="5" name="Text Box 13">
          <a:extLst>
            <a:ext uri="{FF2B5EF4-FFF2-40B4-BE49-F238E27FC236}">
              <a16:creationId xmlns:a16="http://schemas.microsoft.com/office/drawing/2014/main" id="{68220E67-6103-4104-9F55-5524375E273D}"/>
            </a:ext>
          </a:extLst>
        </xdr:cNvPr>
        <xdr:cNvSpPr txBox="1">
          <a:spLocks noChangeArrowheads="1"/>
        </xdr:cNvSpPr>
      </xdr:nvSpPr>
      <xdr:spPr bwMode="auto">
        <a:xfrm>
          <a:off x="1114303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98</xdr:row>
      <xdr:rowOff>0</xdr:rowOff>
    </xdr:from>
    <xdr:ext cx="168910" cy="457200"/>
    <xdr:sp macro="" textlink="">
      <xdr:nvSpPr>
        <xdr:cNvPr id="6" name="Text Box 9">
          <a:extLst>
            <a:ext uri="{FF2B5EF4-FFF2-40B4-BE49-F238E27FC236}">
              <a16:creationId xmlns:a16="http://schemas.microsoft.com/office/drawing/2014/main" id="{4F6FAF52-248F-4B52-BA3E-9C6D83F2E033}"/>
            </a:ext>
          </a:extLst>
        </xdr:cNvPr>
        <xdr:cNvSpPr txBox="1">
          <a:spLocks noChangeArrowheads="1"/>
        </xdr:cNvSpPr>
      </xdr:nvSpPr>
      <xdr:spPr bwMode="auto">
        <a:xfrm>
          <a:off x="304685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95</xdr:row>
      <xdr:rowOff>10092</xdr:rowOff>
    </xdr:from>
    <xdr:to>
      <xdr:col>2</xdr:col>
      <xdr:colOff>203199</xdr:colOff>
      <xdr:row>95</xdr:row>
      <xdr:rowOff>149302</xdr:rowOff>
    </xdr:to>
    <xdr:pic>
      <xdr:nvPicPr>
        <xdr:cNvPr id="7" name="Picture 6">
          <a:extLst>
            <a:ext uri="{FF2B5EF4-FFF2-40B4-BE49-F238E27FC236}">
              <a16:creationId xmlns:a16="http://schemas.microsoft.com/office/drawing/2014/main" id="{044EB5BD-E460-432F-A52F-F9D0E0879D1A}"/>
            </a:ext>
          </a:extLst>
        </xdr:cNvPr>
        <xdr:cNvPicPr>
          <a:picLocks noChangeAspect="1"/>
        </xdr:cNvPicPr>
      </xdr:nvPicPr>
      <xdr:blipFill>
        <a:blip xmlns:r="http://schemas.openxmlformats.org/officeDocument/2006/relationships" r:embed="rId1"/>
        <a:stretch>
          <a:fillRect/>
        </a:stretch>
      </xdr:blipFill>
      <xdr:spPr>
        <a:xfrm>
          <a:off x="3054350" y="20266592"/>
          <a:ext cx="165099" cy="139210"/>
        </a:xfrm>
        <a:prstGeom prst="rect">
          <a:avLst/>
        </a:prstGeom>
      </xdr:spPr>
    </xdr:pic>
    <xdr:clientData/>
  </xdr:twoCellAnchor>
  <xdr:twoCellAnchor editAs="oneCell">
    <xdr:from>
      <xdr:col>3</xdr:col>
      <xdr:colOff>13710</xdr:colOff>
      <xdr:row>95</xdr:row>
      <xdr:rowOff>13986</xdr:rowOff>
    </xdr:from>
    <xdr:to>
      <xdr:col>3</xdr:col>
      <xdr:colOff>154322</xdr:colOff>
      <xdr:row>95</xdr:row>
      <xdr:rowOff>159711</xdr:rowOff>
    </xdr:to>
    <xdr:pic>
      <xdr:nvPicPr>
        <xdr:cNvPr id="8" name="Picture 7">
          <a:extLst>
            <a:ext uri="{FF2B5EF4-FFF2-40B4-BE49-F238E27FC236}">
              <a16:creationId xmlns:a16="http://schemas.microsoft.com/office/drawing/2014/main" id="{E06F288F-F457-427D-B41D-BE4981B991FC}"/>
            </a:ext>
          </a:extLst>
        </xdr:cNvPr>
        <xdr:cNvPicPr>
          <a:picLocks noChangeAspect="1"/>
        </xdr:cNvPicPr>
      </xdr:nvPicPr>
      <xdr:blipFill>
        <a:blip xmlns:r="http://schemas.openxmlformats.org/officeDocument/2006/relationships" r:embed="rId2"/>
        <a:stretch>
          <a:fillRect/>
        </a:stretch>
      </xdr:blipFill>
      <xdr:spPr>
        <a:xfrm>
          <a:off x="4439660" y="20270486"/>
          <a:ext cx="140612" cy="145725"/>
        </a:xfrm>
        <a:prstGeom prst="rect">
          <a:avLst/>
        </a:prstGeom>
      </xdr:spPr>
    </xdr:pic>
    <xdr:clientData/>
  </xdr:twoCellAnchor>
  <xdr:twoCellAnchor editAs="oneCell">
    <xdr:from>
      <xdr:col>4</xdr:col>
      <xdr:colOff>44450</xdr:colOff>
      <xdr:row>95</xdr:row>
      <xdr:rowOff>19130</xdr:rowOff>
    </xdr:from>
    <xdr:to>
      <xdr:col>4</xdr:col>
      <xdr:colOff>215900</xdr:colOff>
      <xdr:row>96</xdr:row>
      <xdr:rowOff>2168</xdr:rowOff>
    </xdr:to>
    <xdr:pic>
      <xdr:nvPicPr>
        <xdr:cNvPr id="9" name="Picture 8">
          <a:extLst>
            <a:ext uri="{FF2B5EF4-FFF2-40B4-BE49-F238E27FC236}">
              <a16:creationId xmlns:a16="http://schemas.microsoft.com/office/drawing/2014/main" id="{748EE309-E761-42B2-8348-134878BE2C1F}"/>
            </a:ext>
          </a:extLst>
        </xdr:cNvPr>
        <xdr:cNvPicPr>
          <a:picLocks noChangeAspect="1"/>
        </xdr:cNvPicPr>
      </xdr:nvPicPr>
      <xdr:blipFill>
        <a:blip xmlns:r="http://schemas.openxmlformats.org/officeDocument/2006/relationships" r:embed="rId3"/>
        <a:stretch>
          <a:fillRect/>
        </a:stretch>
      </xdr:blipFill>
      <xdr:spPr>
        <a:xfrm flipV="1">
          <a:off x="5854700" y="20275630"/>
          <a:ext cx="171450" cy="165918"/>
        </a:xfrm>
        <a:prstGeom prst="rect">
          <a:avLst/>
        </a:prstGeom>
      </xdr:spPr>
    </xdr:pic>
    <xdr:clientData/>
  </xdr:twoCellAnchor>
  <xdr:oneCellAnchor>
    <xdr:from>
      <xdr:col>1</xdr:col>
      <xdr:colOff>20248</xdr:colOff>
      <xdr:row>95</xdr:row>
      <xdr:rowOff>8127</xdr:rowOff>
    </xdr:from>
    <xdr:ext cx="199069" cy="170387"/>
    <xdr:pic>
      <xdr:nvPicPr>
        <xdr:cNvPr id="10" name="Picture 9">
          <a:extLst>
            <a:ext uri="{FF2B5EF4-FFF2-40B4-BE49-F238E27FC236}">
              <a16:creationId xmlns:a16="http://schemas.microsoft.com/office/drawing/2014/main" id="{187160B3-3067-4E33-97C4-DFC0C2FD47CD}"/>
            </a:ext>
          </a:extLst>
        </xdr:cNvPr>
        <xdr:cNvPicPr>
          <a:picLocks noChangeAspect="1"/>
        </xdr:cNvPicPr>
      </xdr:nvPicPr>
      <xdr:blipFill>
        <a:blip xmlns:r="http://schemas.openxmlformats.org/officeDocument/2006/relationships" r:embed="rId4"/>
        <a:stretch>
          <a:fillRect/>
        </a:stretch>
      </xdr:blipFill>
      <xdr:spPr>
        <a:xfrm>
          <a:off x="1487098" y="20264627"/>
          <a:ext cx="199069" cy="170387"/>
        </a:xfrm>
        <a:prstGeom prst="rect">
          <a:avLst/>
        </a:prstGeom>
      </xdr:spPr>
    </xdr:pic>
    <xdr:clientData/>
  </xdr:oneCellAnchor>
  <xdr:twoCellAnchor editAs="oneCell">
    <xdr:from>
      <xdr:col>0</xdr:col>
      <xdr:colOff>0</xdr:colOff>
      <xdr:row>95</xdr:row>
      <xdr:rowOff>7863</xdr:rowOff>
    </xdr:from>
    <xdr:to>
      <xdr:col>0</xdr:col>
      <xdr:colOff>208786</xdr:colOff>
      <xdr:row>96</xdr:row>
      <xdr:rowOff>1518</xdr:rowOff>
    </xdr:to>
    <xdr:pic>
      <xdr:nvPicPr>
        <xdr:cNvPr id="11" name="Picture 10">
          <a:extLst>
            <a:ext uri="{FF2B5EF4-FFF2-40B4-BE49-F238E27FC236}">
              <a16:creationId xmlns:a16="http://schemas.microsoft.com/office/drawing/2014/main" id="{DE5F1F64-9465-43D2-8A2D-A903FEAFB8EF}"/>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0</xdr:col>
      <xdr:colOff>30010</xdr:colOff>
      <xdr:row>27</xdr:row>
      <xdr:rowOff>25935</xdr:rowOff>
    </xdr:from>
    <xdr:to>
      <xdr:col>2</xdr:col>
      <xdr:colOff>531812</xdr:colOff>
      <xdr:row>41</xdr:row>
      <xdr:rowOff>158750</xdr:rowOff>
    </xdr:to>
    <xdr:grpSp>
      <xdr:nvGrpSpPr>
        <xdr:cNvPr id="408" name="Group 11">
          <a:extLst>
            <a:ext uri="{FF2B5EF4-FFF2-40B4-BE49-F238E27FC236}">
              <a16:creationId xmlns:a16="http://schemas.microsoft.com/office/drawing/2014/main" id="{B7F455AF-D1E9-4FE1-8486-9B123B46791A}"/>
            </a:ext>
          </a:extLst>
        </xdr:cNvPr>
        <xdr:cNvGrpSpPr/>
      </xdr:nvGrpSpPr>
      <xdr:grpSpPr>
        <a:xfrm>
          <a:off x="30010" y="5617110"/>
          <a:ext cx="3130702" cy="2666465"/>
          <a:chOff x="77635" y="5406915"/>
          <a:chExt cx="2829628" cy="2158877"/>
        </a:xfrm>
      </xdr:grpSpPr>
      <xdr:graphicFrame macro="">
        <xdr:nvGraphicFramePr>
          <xdr:cNvPr id="409" name="Chart 12">
            <a:extLst>
              <a:ext uri="{FF2B5EF4-FFF2-40B4-BE49-F238E27FC236}">
                <a16:creationId xmlns:a16="http://schemas.microsoft.com/office/drawing/2014/main" id="{EB4707B3-69F0-67A9-A842-C75CA99766C7}"/>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410" name="TextBox 13">
            <a:extLst>
              <a:ext uri="{FF2B5EF4-FFF2-40B4-BE49-F238E27FC236}">
                <a16:creationId xmlns:a16="http://schemas.microsoft.com/office/drawing/2014/main" id="{A6D1DEBA-AFF2-3F95-9534-336E062D922D}"/>
              </a:ext>
            </a:extLst>
          </xdr:cNvPr>
          <xdr:cNvSpPr txBox="1"/>
        </xdr:nvSpPr>
        <xdr:spPr>
          <a:xfrm>
            <a:off x="313550" y="5430748"/>
            <a:ext cx="2442041" cy="2353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86C51E4-57F7-403F-B9A7-FD6A2A3537B0}" type="TxLink">
              <a:rPr lang="en-US" sz="1100" b="1" i="0" u="none" strike="noStrike">
                <a:solidFill>
                  <a:srgbClr val="000000"/>
                </a:solidFill>
                <a:latin typeface="Aptos Narrow"/>
              </a:rPr>
              <a:pPr algn="ctr"/>
              <a:t> </a:t>
            </a:fld>
            <a:endParaRPr lang="en-IN" sz="2400" b="1"/>
          </a:p>
        </xdr:txBody>
      </xdr:sp>
    </xdr:grpSp>
    <xdr:clientData/>
  </xdr:twoCellAnchor>
  <xdr:twoCellAnchor>
    <xdr:from>
      <xdr:col>2</xdr:col>
      <xdr:colOff>584545</xdr:colOff>
      <xdr:row>27</xdr:row>
      <xdr:rowOff>25400</xdr:rowOff>
    </xdr:from>
    <xdr:to>
      <xdr:col>4</xdr:col>
      <xdr:colOff>1446212</xdr:colOff>
      <xdr:row>41</xdr:row>
      <xdr:rowOff>174625</xdr:rowOff>
    </xdr:to>
    <xdr:grpSp>
      <xdr:nvGrpSpPr>
        <xdr:cNvPr id="537" name="Group 14">
          <a:extLst>
            <a:ext uri="{FF2B5EF4-FFF2-40B4-BE49-F238E27FC236}">
              <a16:creationId xmlns:a16="http://schemas.microsoft.com/office/drawing/2014/main" id="{040A99C8-F849-4003-8227-C5493B37322D}"/>
            </a:ext>
          </a:extLst>
        </xdr:cNvPr>
        <xdr:cNvGrpSpPr/>
      </xdr:nvGrpSpPr>
      <xdr:grpSpPr>
        <a:xfrm>
          <a:off x="3213445" y="5616575"/>
          <a:ext cx="3452467" cy="2682875"/>
          <a:chOff x="2905974" y="5419664"/>
          <a:chExt cx="3092518" cy="2147057"/>
        </a:xfrm>
      </xdr:grpSpPr>
      <xdr:graphicFrame macro="">
        <xdr:nvGraphicFramePr>
          <xdr:cNvPr id="538" name="Chart 15">
            <a:extLst>
              <a:ext uri="{FF2B5EF4-FFF2-40B4-BE49-F238E27FC236}">
                <a16:creationId xmlns:a16="http://schemas.microsoft.com/office/drawing/2014/main" id="{568D40E6-51DF-8862-7B25-2A737EE5B721}"/>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539" name="TextBox 16">
            <a:extLst>
              <a:ext uri="{FF2B5EF4-FFF2-40B4-BE49-F238E27FC236}">
                <a16:creationId xmlns:a16="http://schemas.microsoft.com/office/drawing/2014/main" id="{E77283CA-F645-9F18-927C-AF6245D36DE5}"/>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66F0793-FC69-46A8-88E5-D1FFF277BFA7}" type="TxLink">
              <a:rPr lang="en-US" sz="1200" b="1" i="0" u="none" strike="noStrike">
                <a:solidFill>
                  <a:srgbClr val="000000"/>
                </a:solidFill>
                <a:latin typeface="Aptos Narrow"/>
              </a:rPr>
              <a:pPr algn="ctr"/>
              <a:t> </a:t>
            </a:fld>
            <a:endParaRPr lang="en-IN" sz="4000" b="1"/>
          </a:p>
        </xdr:txBody>
      </xdr:sp>
    </xdr:grpSp>
    <xdr:clientData/>
  </xdr:twoCellAnchor>
  <xdr:twoCellAnchor>
    <xdr:from>
      <xdr:col>5</xdr:col>
      <xdr:colOff>32123</xdr:colOff>
      <xdr:row>27</xdr:row>
      <xdr:rowOff>28379</xdr:rowOff>
    </xdr:from>
    <xdr:to>
      <xdr:col>8</xdr:col>
      <xdr:colOff>621908</xdr:colOff>
      <xdr:row>42</xdr:row>
      <xdr:rowOff>470</xdr:rowOff>
    </xdr:to>
    <xdr:grpSp>
      <xdr:nvGrpSpPr>
        <xdr:cNvPr id="444" name="Group 17">
          <a:extLst>
            <a:ext uri="{FF2B5EF4-FFF2-40B4-BE49-F238E27FC236}">
              <a16:creationId xmlns:a16="http://schemas.microsoft.com/office/drawing/2014/main" id="{F07281A2-2DD4-44A6-A172-5EF979D63EC7}"/>
            </a:ext>
          </a:extLst>
        </xdr:cNvPr>
        <xdr:cNvGrpSpPr/>
      </xdr:nvGrpSpPr>
      <xdr:grpSpPr>
        <a:xfrm>
          <a:off x="6699623" y="5619554"/>
          <a:ext cx="3733035" cy="2686716"/>
          <a:chOff x="5810561" y="5397766"/>
          <a:chExt cx="2667443" cy="2269965"/>
        </a:xfrm>
      </xdr:grpSpPr>
      <xdr:graphicFrame macro="">
        <xdr:nvGraphicFramePr>
          <xdr:cNvPr id="445" name="Chart 18">
            <a:extLst>
              <a:ext uri="{FF2B5EF4-FFF2-40B4-BE49-F238E27FC236}">
                <a16:creationId xmlns:a16="http://schemas.microsoft.com/office/drawing/2014/main" id="{414B86AC-5349-C257-1DD9-C8D5D703DD78}"/>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446" name="TextBox 19">
            <a:extLst>
              <a:ext uri="{FF2B5EF4-FFF2-40B4-BE49-F238E27FC236}">
                <a16:creationId xmlns:a16="http://schemas.microsoft.com/office/drawing/2014/main" id="{241F3F59-ECEA-C805-8448-384A96970A7F}"/>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AC8BD94-3F86-42AF-B867-9B8CB6A580CE}" type="TxLink">
              <a:rPr lang="en-US" sz="1200" b="1" i="0" u="none" strike="noStrike">
                <a:solidFill>
                  <a:srgbClr val="000000"/>
                </a:solidFill>
                <a:latin typeface="Aptos Narrow"/>
              </a:rPr>
              <a:pPr algn="ctr"/>
              <a:t> </a:t>
            </a:fld>
            <a:endParaRPr lang="en-IN" sz="2800" b="1"/>
          </a:p>
        </xdr:txBody>
      </xdr:sp>
    </xdr:grpSp>
    <xdr:clientData/>
  </xdr:twoCellAnchor>
  <xdr:twoCellAnchor>
    <xdr:from>
      <xdr:col>8</xdr:col>
      <xdr:colOff>658812</xdr:colOff>
      <xdr:row>27</xdr:row>
      <xdr:rowOff>0</xdr:rowOff>
    </xdr:from>
    <xdr:to>
      <xdr:col>12</xdr:col>
      <xdr:colOff>142874</xdr:colOff>
      <xdr:row>41</xdr:row>
      <xdr:rowOff>142876</xdr:rowOff>
    </xdr:to>
    <xdr:grpSp>
      <xdr:nvGrpSpPr>
        <xdr:cNvPr id="459" name="Group 20">
          <a:extLst>
            <a:ext uri="{FF2B5EF4-FFF2-40B4-BE49-F238E27FC236}">
              <a16:creationId xmlns:a16="http://schemas.microsoft.com/office/drawing/2014/main" id="{AA3EB335-1FCF-4978-9CA8-B48ED1F2BEA2}"/>
            </a:ext>
          </a:extLst>
        </xdr:cNvPr>
        <xdr:cNvGrpSpPr/>
      </xdr:nvGrpSpPr>
      <xdr:grpSpPr>
        <a:xfrm>
          <a:off x="10469562" y="5591175"/>
          <a:ext cx="3846512" cy="2676526"/>
          <a:chOff x="8567036" y="5412365"/>
          <a:chExt cx="2683519" cy="2171271"/>
        </a:xfrm>
      </xdr:grpSpPr>
      <xdr:graphicFrame macro="">
        <xdr:nvGraphicFramePr>
          <xdr:cNvPr id="460" name="Chart 21">
            <a:extLst>
              <a:ext uri="{FF2B5EF4-FFF2-40B4-BE49-F238E27FC236}">
                <a16:creationId xmlns:a16="http://schemas.microsoft.com/office/drawing/2014/main" id="{928B5877-433F-536A-B625-573E4B260ED9}"/>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461" name="TextBox 22">
            <a:extLst>
              <a:ext uri="{FF2B5EF4-FFF2-40B4-BE49-F238E27FC236}">
                <a16:creationId xmlns:a16="http://schemas.microsoft.com/office/drawing/2014/main" id="{6133B380-16B6-744B-AE92-F13F539FF958}"/>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63C3E73-0D6C-4FF0-BFAB-EC42AC690EB8}" type="TxLink">
              <a:rPr lang="en-US" sz="1200" b="1" i="0" u="none" strike="noStrike">
                <a:solidFill>
                  <a:srgbClr val="000000"/>
                </a:solidFill>
                <a:latin typeface="Aptos Narrow"/>
              </a:rPr>
              <a:pPr algn="ctr"/>
              <a:t> </a:t>
            </a:fld>
            <a:endParaRPr lang="en-IN" sz="2800" b="1"/>
          </a:p>
        </xdr:txBody>
      </xdr:sp>
    </xdr:grpSp>
    <xdr:clientData/>
  </xdr:twoCellAnchor>
  <xdr:twoCellAnchor>
    <xdr:from>
      <xdr:col>12</xdr:col>
      <xdr:colOff>217949</xdr:colOff>
      <xdr:row>27</xdr:row>
      <xdr:rowOff>12700</xdr:rowOff>
    </xdr:from>
    <xdr:to>
      <xdr:col>15</xdr:col>
      <xdr:colOff>831850</xdr:colOff>
      <xdr:row>41</xdr:row>
      <xdr:rowOff>150813</xdr:rowOff>
    </xdr:to>
    <xdr:grpSp>
      <xdr:nvGrpSpPr>
        <xdr:cNvPr id="480" name="Group 23">
          <a:extLst>
            <a:ext uri="{FF2B5EF4-FFF2-40B4-BE49-F238E27FC236}">
              <a16:creationId xmlns:a16="http://schemas.microsoft.com/office/drawing/2014/main" id="{12AAA4B4-D159-4190-9EB6-B909C426F4BA}"/>
            </a:ext>
          </a:extLst>
        </xdr:cNvPr>
        <xdr:cNvGrpSpPr/>
      </xdr:nvGrpSpPr>
      <xdr:grpSpPr>
        <a:xfrm>
          <a:off x="14391149" y="5603875"/>
          <a:ext cx="3852401" cy="2671763"/>
          <a:chOff x="11292890" y="5778019"/>
          <a:chExt cx="2950193" cy="2149373"/>
        </a:xfrm>
      </xdr:grpSpPr>
      <xdr:graphicFrame macro="">
        <xdr:nvGraphicFramePr>
          <xdr:cNvPr id="481" name="Chart 24">
            <a:extLst>
              <a:ext uri="{FF2B5EF4-FFF2-40B4-BE49-F238E27FC236}">
                <a16:creationId xmlns:a16="http://schemas.microsoft.com/office/drawing/2014/main" id="{31509539-2D3B-DC32-F30D-3F7D545BCC9C}"/>
              </a:ext>
            </a:extLst>
          </xdr:cNvPr>
          <xdr:cNvGraphicFramePr/>
        </xdr:nvGraphicFramePr>
        <xdr:xfrm>
          <a:off x="11292890" y="5778019"/>
          <a:ext cx="2950193" cy="2149373"/>
        </xdr:xfrm>
        <a:graphic>
          <a:graphicData uri="http://schemas.openxmlformats.org/drawingml/2006/chart">
            <c:chart xmlns:c="http://schemas.openxmlformats.org/drawingml/2006/chart" xmlns:r="http://schemas.openxmlformats.org/officeDocument/2006/relationships" r:id="rId10"/>
          </a:graphicData>
        </a:graphic>
      </xdr:graphicFrame>
      <xdr:sp macro="" textlink="$A$22">
        <xdr:nvSpPr>
          <xdr:cNvPr id="482" name="TextBox 25">
            <a:extLst>
              <a:ext uri="{FF2B5EF4-FFF2-40B4-BE49-F238E27FC236}">
                <a16:creationId xmlns:a16="http://schemas.microsoft.com/office/drawing/2014/main" id="{618366F7-B94D-599D-E6F5-7B93F0069164}"/>
              </a:ext>
            </a:extLst>
          </xdr:cNvPr>
          <xdr:cNvSpPr txBox="1"/>
        </xdr:nvSpPr>
        <xdr:spPr>
          <a:xfrm>
            <a:off x="11509061" y="5792438"/>
            <a:ext cx="2511855" cy="23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CFF2C2F-BDCF-4691-BC0C-A61A71188BC1}" type="TxLink">
              <a:rPr lang="en-US" sz="1200" b="1" i="0" u="none" strike="noStrike">
                <a:solidFill>
                  <a:srgbClr val="000000"/>
                </a:solidFill>
                <a:latin typeface="Aptos Narrow"/>
              </a:rPr>
              <a:pPr algn="ctr"/>
              <a:t> </a:t>
            </a:fld>
            <a:endParaRPr lang="en-IN" sz="2800" b="1"/>
          </a:p>
        </xdr:txBody>
      </xdr:sp>
    </xdr:grpSp>
    <xdr:clientData/>
  </xdr:twoCellAnchor>
  <xdr:twoCellAnchor>
    <xdr:from>
      <xdr:col>15</xdr:col>
      <xdr:colOff>884235</xdr:colOff>
      <xdr:row>27</xdr:row>
      <xdr:rowOff>14285</xdr:rowOff>
    </xdr:from>
    <xdr:to>
      <xdr:col>19</xdr:col>
      <xdr:colOff>685800</xdr:colOff>
      <xdr:row>41</xdr:row>
      <xdr:rowOff>152400</xdr:rowOff>
    </xdr:to>
    <xdr:grpSp>
      <xdr:nvGrpSpPr>
        <xdr:cNvPr id="495" name="Group 26">
          <a:extLst>
            <a:ext uri="{FF2B5EF4-FFF2-40B4-BE49-F238E27FC236}">
              <a16:creationId xmlns:a16="http://schemas.microsoft.com/office/drawing/2014/main" id="{C901C7D2-42CC-4BEC-99B8-851345F97777}"/>
            </a:ext>
          </a:extLst>
        </xdr:cNvPr>
        <xdr:cNvGrpSpPr/>
      </xdr:nvGrpSpPr>
      <xdr:grpSpPr>
        <a:xfrm>
          <a:off x="18295935" y="5605460"/>
          <a:ext cx="3878265" cy="2671765"/>
          <a:chOff x="14383240" y="5433345"/>
          <a:chExt cx="2349106" cy="2083197"/>
        </a:xfrm>
      </xdr:grpSpPr>
      <xdr:graphicFrame macro="">
        <xdr:nvGraphicFramePr>
          <xdr:cNvPr id="496" name="Chart 27">
            <a:extLst>
              <a:ext uri="{FF2B5EF4-FFF2-40B4-BE49-F238E27FC236}">
                <a16:creationId xmlns:a16="http://schemas.microsoft.com/office/drawing/2014/main" id="{FB22CCB3-B820-CA8E-32C9-1363590F531F}"/>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11"/>
          </a:graphicData>
        </a:graphic>
      </xdr:graphicFrame>
      <xdr:sp macro="" textlink="$A$24">
        <xdr:nvSpPr>
          <xdr:cNvPr id="497" name="TextBox 28">
            <a:extLst>
              <a:ext uri="{FF2B5EF4-FFF2-40B4-BE49-F238E27FC236}">
                <a16:creationId xmlns:a16="http://schemas.microsoft.com/office/drawing/2014/main" id="{B2F0693B-2D44-54FF-1890-2DBF6DD52917}"/>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D4D4063-C0ED-4A22-B1BB-3A639E35890B}" type="TxLink">
              <a:rPr lang="en-US" sz="1200" b="1" i="0" u="none" strike="noStrike">
                <a:solidFill>
                  <a:srgbClr val="000000"/>
                </a:solidFill>
                <a:latin typeface="Aptos Narrow"/>
              </a:rPr>
              <a:pPr algn="ctr"/>
              <a:t> </a:t>
            </a:fld>
            <a:endParaRPr lang="en-IN" sz="2800" b="1"/>
          </a:p>
        </xdr:txBody>
      </xdr:sp>
    </xdr:grpSp>
    <xdr:clientData/>
  </xdr:twoCellAnchor>
  <xdr:twoCellAnchor>
    <xdr:from>
      <xdr:col>0</xdr:col>
      <xdr:colOff>0</xdr:colOff>
      <xdr:row>66</xdr:row>
      <xdr:rowOff>23585</xdr:rowOff>
    </xdr:from>
    <xdr:to>
      <xdr:col>2</xdr:col>
      <xdr:colOff>1183765</xdr:colOff>
      <xdr:row>80</xdr:row>
      <xdr:rowOff>109753</xdr:rowOff>
    </xdr:to>
    <xdr:grpSp>
      <xdr:nvGrpSpPr>
        <xdr:cNvPr id="510" name="Group 29">
          <a:extLst>
            <a:ext uri="{FF2B5EF4-FFF2-40B4-BE49-F238E27FC236}">
              <a16:creationId xmlns:a16="http://schemas.microsoft.com/office/drawing/2014/main" id="{2EC7C3A3-1F20-45FD-BCE8-D013F4D2EEE7}"/>
            </a:ext>
          </a:extLst>
        </xdr:cNvPr>
        <xdr:cNvGrpSpPr/>
      </xdr:nvGrpSpPr>
      <xdr:grpSpPr>
        <a:xfrm>
          <a:off x="0" y="13977710"/>
          <a:ext cx="3812665"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511" name="Chart 30">
                <a:extLst>
                  <a:ext uri="{FF2B5EF4-FFF2-40B4-BE49-F238E27FC236}">
                    <a16:creationId xmlns:a16="http://schemas.microsoft.com/office/drawing/2014/main" id="{A8A2EF4D-4540-A0B6-9BE8-BFDCB070510B}"/>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9">
        <xdr:nvSpPr>
          <xdr:cNvPr id="512" name="TextBox 31">
            <a:extLst>
              <a:ext uri="{FF2B5EF4-FFF2-40B4-BE49-F238E27FC236}">
                <a16:creationId xmlns:a16="http://schemas.microsoft.com/office/drawing/2014/main" id="{0DE71E2C-1582-7F3E-90F7-798D3A4F4BB4}"/>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 </a:t>
            </a:fld>
            <a:endParaRPr lang="en-IN" sz="1600" b="1"/>
          </a:p>
        </xdr:txBody>
      </xdr:sp>
    </xdr:grpSp>
    <xdr:clientData/>
  </xdr:twoCellAnchor>
  <xdr:twoCellAnchor>
    <xdr:from>
      <xdr:col>2</xdr:col>
      <xdr:colOff>1249382</xdr:colOff>
      <xdr:row>65</xdr:row>
      <xdr:rowOff>257956</xdr:rowOff>
    </xdr:from>
    <xdr:to>
      <xdr:col>5</xdr:col>
      <xdr:colOff>932901</xdr:colOff>
      <xdr:row>80</xdr:row>
      <xdr:rowOff>125432</xdr:rowOff>
    </xdr:to>
    <xdr:grpSp>
      <xdr:nvGrpSpPr>
        <xdr:cNvPr id="492" name="Group 32">
          <a:extLst>
            <a:ext uri="{FF2B5EF4-FFF2-40B4-BE49-F238E27FC236}">
              <a16:creationId xmlns:a16="http://schemas.microsoft.com/office/drawing/2014/main" id="{249846B3-9BBF-4667-8C9B-56A39F7E9853}"/>
            </a:ext>
          </a:extLst>
        </xdr:cNvPr>
        <xdr:cNvGrpSpPr/>
      </xdr:nvGrpSpPr>
      <xdr:grpSpPr>
        <a:xfrm>
          <a:off x="3878282" y="13945381"/>
          <a:ext cx="3722119"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493" name="Chart 33">
                <a:extLst>
                  <a:ext uri="{FF2B5EF4-FFF2-40B4-BE49-F238E27FC236}">
                    <a16:creationId xmlns:a16="http://schemas.microsoft.com/office/drawing/2014/main" id="{907694B6-0BC7-A608-C3FA-A01427503FA8}"/>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2">
        <xdr:nvSpPr>
          <xdr:cNvPr id="494" name="TextBox 34">
            <a:extLst>
              <a:ext uri="{FF2B5EF4-FFF2-40B4-BE49-F238E27FC236}">
                <a16:creationId xmlns:a16="http://schemas.microsoft.com/office/drawing/2014/main" id="{7A33D40E-8051-C6D5-2492-92E825FC42D1}"/>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 </a:t>
            </a:fld>
            <a:endParaRPr lang="en-IN" sz="1600" b="1"/>
          </a:p>
        </xdr:txBody>
      </xdr:sp>
    </xdr:grpSp>
    <xdr:clientData/>
  </xdr:twoCellAnchor>
  <xdr:twoCellAnchor>
    <xdr:from>
      <xdr:col>5</xdr:col>
      <xdr:colOff>1003064</xdr:colOff>
      <xdr:row>66</xdr:row>
      <xdr:rowOff>15312</xdr:rowOff>
    </xdr:from>
    <xdr:to>
      <xdr:col>9</xdr:col>
      <xdr:colOff>611482</xdr:colOff>
      <xdr:row>80</xdr:row>
      <xdr:rowOff>125432</xdr:rowOff>
    </xdr:to>
    <xdr:grpSp>
      <xdr:nvGrpSpPr>
        <xdr:cNvPr id="498" name="Group 35">
          <a:extLst>
            <a:ext uri="{FF2B5EF4-FFF2-40B4-BE49-F238E27FC236}">
              <a16:creationId xmlns:a16="http://schemas.microsoft.com/office/drawing/2014/main" id="{643A79D6-ECBD-4F75-9C57-59AF91DA1AE8}"/>
            </a:ext>
          </a:extLst>
        </xdr:cNvPr>
        <xdr:cNvGrpSpPr/>
      </xdr:nvGrpSpPr>
      <xdr:grpSpPr>
        <a:xfrm>
          <a:off x="7670564" y="13969437"/>
          <a:ext cx="3780368"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499" name="Chart 36">
                <a:extLst>
                  <a:ext uri="{FF2B5EF4-FFF2-40B4-BE49-F238E27FC236}">
                    <a16:creationId xmlns:a16="http://schemas.microsoft.com/office/drawing/2014/main" id="{87A7BE05-0A60-09A7-0871-2957FACB3AA1}"/>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5">
        <xdr:nvSpPr>
          <xdr:cNvPr id="500" name="TextBox 37">
            <a:extLst>
              <a:ext uri="{FF2B5EF4-FFF2-40B4-BE49-F238E27FC236}">
                <a16:creationId xmlns:a16="http://schemas.microsoft.com/office/drawing/2014/main" id="{03586E6C-8348-85E5-C067-981E1EBE73EA}"/>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9</xdr:col>
      <xdr:colOff>658518</xdr:colOff>
      <xdr:row>65</xdr:row>
      <xdr:rowOff>266376</xdr:rowOff>
    </xdr:from>
    <xdr:to>
      <xdr:col>13</xdr:col>
      <xdr:colOff>7762</xdr:colOff>
      <xdr:row>80</xdr:row>
      <xdr:rowOff>94074</xdr:rowOff>
    </xdr:to>
    <xdr:grpSp>
      <xdr:nvGrpSpPr>
        <xdr:cNvPr id="501" name="Group 38">
          <a:extLst>
            <a:ext uri="{FF2B5EF4-FFF2-40B4-BE49-F238E27FC236}">
              <a16:creationId xmlns:a16="http://schemas.microsoft.com/office/drawing/2014/main" id="{5FB37916-B3AC-4362-90C0-CA76E6A14E16}"/>
            </a:ext>
          </a:extLst>
        </xdr:cNvPr>
        <xdr:cNvGrpSpPr/>
      </xdr:nvGrpSpPr>
      <xdr:grpSpPr>
        <a:xfrm>
          <a:off x="11497968" y="13953801"/>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502" name="Chart 39">
                <a:extLst>
                  <a:ext uri="{FF2B5EF4-FFF2-40B4-BE49-F238E27FC236}">
                    <a16:creationId xmlns:a16="http://schemas.microsoft.com/office/drawing/2014/main" id="{81FFCD19-8144-6244-10BF-D37832D78547}"/>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8">
        <xdr:nvSpPr>
          <xdr:cNvPr id="503" name="TextBox 40">
            <a:extLst>
              <a:ext uri="{FF2B5EF4-FFF2-40B4-BE49-F238E27FC236}">
                <a16:creationId xmlns:a16="http://schemas.microsoft.com/office/drawing/2014/main" id="{D706557F-4340-7709-8147-7C5154840556}"/>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13</xdr:col>
      <xdr:colOff>54876</xdr:colOff>
      <xdr:row>65</xdr:row>
      <xdr:rowOff>233461</xdr:rowOff>
    </xdr:from>
    <xdr:to>
      <xdr:col>16</xdr:col>
      <xdr:colOff>266543</xdr:colOff>
      <xdr:row>80</xdr:row>
      <xdr:rowOff>94074</xdr:rowOff>
    </xdr:to>
    <xdr:grpSp>
      <xdr:nvGrpSpPr>
        <xdr:cNvPr id="504" name="Group 41">
          <a:extLst>
            <a:ext uri="{FF2B5EF4-FFF2-40B4-BE49-F238E27FC236}">
              <a16:creationId xmlns:a16="http://schemas.microsoft.com/office/drawing/2014/main" id="{9F1896B1-6E55-495E-A6E1-53B90DD510E7}"/>
            </a:ext>
          </a:extLst>
        </xdr:cNvPr>
        <xdr:cNvGrpSpPr/>
      </xdr:nvGrpSpPr>
      <xdr:grpSpPr>
        <a:xfrm>
          <a:off x="15266301" y="13920886"/>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505" name="Chart 42">
                <a:extLst>
                  <a:ext uri="{FF2B5EF4-FFF2-40B4-BE49-F238E27FC236}">
                    <a16:creationId xmlns:a16="http://schemas.microsoft.com/office/drawing/2014/main" id="{CDB79367-B84F-7E73-434C-1E0536A10E2B}"/>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1">
        <xdr:nvSpPr>
          <xdr:cNvPr id="506" name="TextBox 43">
            <a:extLst>
              <a:ext uri="{FF2B5EF4-FFF2-40B4-BE49-F238E27FC236}">
                <a16:creationId xmlns:a16="http://schemas.microsoft.com/office/drawing/2014/main" id="{02BCFD4F-10D0-7BFA-BDE0-E01660480E03}"/>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65</xdr:row>
      <xdr:rowOff>232552</xdr:rowOff>
    </xdr:from>
    <xdr:to>
      <xdr:col>20</xdr:col>
      <xdr:colOff>31358</xdr:colOff>
      <xdr:row>80</xdr:row>
      <xdr:rowOff>117593</xdr:rowOff>
    </xdr:to>
    <xdr:grpSp>
      <xdr:nvGrpSpPr>
        <xdr:cNvPr id="507" name="Group 44">
          <a:extLst>
            <a:ext uri="{FF2B5EF4-FFF2-40B4-BE49-F238E27FC236}">
              <a16:creationId xmlns:a16="http://schemas.microsoft.com/office/drawing/2014/main" id="{08E0B730-837D-47B9-9745-84A786A194B7}"/>
            </a:ext>
          </a:extLst>
        </xdr:cNvPr>
        <xdr:cNvGrpSpPr/>
      </xdr:nvGrpSpPr>
      <xdr:grpSpPr>
        <a:xfrm>
          <a:off x="18912535" y="13919977"/>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508" name="Chart 45">
                <a:extLst>
                  <a:ext uri="{FF2B5EF4-FFF2-40B4-BE49-F238E27FC236}">
                    <a16:creationId xmlns:a16="http://schemas.microsoft.com/office/drawing/2014/main" id="{FC2DA29D-C913-61CD-0B4D-678435170D5C}"/>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4">
        <xdr:nvSpPr>
          <xdr:cNvPr id="509" name="TextBox 46">
            <a:extLst>
              <a:ext uri="{FF2B5EF4-FFF2-40B4-BE49-F238E27FC236}">
                <a16:creationId xmlns:a16="http://schemas.microsoft.com/office/drawing/2014/main" id="{122A8C70-A4DC-4F82-EE29-2BD2232024CB}"/>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301625</xdr:colOff>
      <xdr:row>48</xdr:row>
      <xdr:rowOff>0</xdr:rowOff>
    </xdr:from>
    <xdr:to>
      <xdr:col>13</xdr:col>
      <xdr:colOff>282575</xdr:colOff>
      <xdr:row>62</xdr:row>
      <xdr:rowOff>165100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CAD45CB-D967-729C-AE78-B8FD0B6EAD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196849</xdr:colOff>
      <xdr:row>48</xdr:row>
      <xdr:rowOff>25400</xdr:rowOff>
    </xdr:from>
    <xdr:to>
      <xdr:col>6</xdr:col>
      <xdr:colOff>34924</xdr:colOff>
      <xdr:row>63</xdr:row>
      <xdr:rowOff>12700</xdr:rowOff>
    </xdr:to>
    <xdr:grpSp>
      <xdr:nvGrpSpPr>
        <xdr:cNvPr id="18" name="Group 4">
          <a:extLst>
            <a:ext uri="{FF2B5EF4-FFF2-40B4-BE49-F238E27FC236}">
              <a16:creationId xmlns:a16="http://schemas.microsoft.com/office/drawing/2014/main" id="{6074579B-93DB-8917-FB38-6A2B0F22D726}"/>
            </a:ext>
          </a:extLst>
        </xdr:cNvPr>
        <xdr:cNvGrpSpPr/>
      </xdr:nvGrpSpPr>
      <xdr:grpSpPr>
        <a:xfrm>
          <a:off x="806449" y="9112250"/>
          <a:ext cx="4391025" cy="2701925"/>
          <a:chOff x="806449" y="9258300"/>
          <a:chExt cx="4562475" cy="2749550"/>
        </a:xfrm>
      </xdr:grpSpPr>
      <mc:AlternateContent xmlns:mc="http://schemas.openxmlformats.org/markup-compatibility/2006">
        <mc:Choice xmlns:cx1="http://schemas.microsoft.com/office/drawing/2015/9/8/chartex" Requires="cx1">
          <xdr:graphicFrame macro="">
            <xdr:nvGraphicFramePr>
              <xdr:cNvPr id="19" name="Chart 1">
                <a:extLst>
                  <a:ext uri="{FF2B5EF4-FFF2-40B4-BE49-F238E27FC236}">
                    <a16:creationId xmlns:a16="http://schemas.microsoft.com/office/drawing/2014/main" id="{06BDAB54-2EAB-40E9-9A40-EBAC3D6F5E3C}"/>
                  </a:ext>
                </a:extLst>
              </xdr:cNvPr>
              <xdr:cNvGraphicFramePr/>
            </xdr:nvGraphicFramePr>
            <xdr:xfrm>
              <a:off x="806449" y="9258300"/>
              <a:ext cx="4562475" cy="274955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06449" y="9258300"/>
                <a:ext cx="4562475" cy="274955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B$45">
        <xdr:nvSpPr>
          <xdr:cNvPr id="20" name="TextBox 3">
            <a:extLst>
              <a:ext uri="{FF2B5EF4-FFF2-40B4-BE49-F238E27FC236}">
                <a16:creationId xmlns:a16="http://schemas.microsoft.com/office/drawing/2014/main" id="{22E9D846-D2B6-0451-F975-EBD30B2289C9}"/>
              </a:ext>
            </a:extLst>
          </xdr:cNvPr>
          <xdr:cNvSpPr txBox="1"/>
        </xdr:nvSpPr>
        <xdr:spPr>
          <a:xfrm>
            <a:off x="2857500" y="9321800"/>
            <a:ext cx="12827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96116B-30C1-452F-A0B8-527565C4F20D}" type="TxLink">
              <a:rPr lang="en-US" sz="900" b="0" i="0" u="none" strike="noStrike">
                <a:solidFill>
                  <a:srgbClr val="000000"/>
                </a:solidFill>
                <a:latin typeface="Aptos Narrow"/>
              </a:rPr>
              <a:pPr/>
              <a:t>OIT</a:t>
            </a:fld>
            <a:endParaRPr lang="en-IN" sz="1100"/>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Jain, Rohan" id="{8FE96FFF-8515-4182-A0EC-B5C31E596FBC}" userId="S::Rohan.Jain@philips.com::f83050be-e4ac-4b93-b2b1-cc54c9a3714a" providerId="AD"/>
  <person displayName="Paste, Sagar" id="{D29D8068-29AC-4D8C-9CF2-D88025579D79}" userId="S::sagar.paste@philips.com::9ea0e38b-9fd6-41f5-a7ff-de9d2affc0d9" providerId="AD"/>
  <person displayName="P, Dilip Kumar" id="{8BE15961-C862-4320-BF4F-685490C6369A}" userId="S::DilipKumar.P@philips.com::3910401b-3262-42cb-826a-50434919ce2a" providerId="AD"/>
  <person displayName="Sharma, Tarun" id="{43AE0B5D-E0A7-4D3B-92D3-6B304543D577}" userId="S::Tarun.Sharma@philips.com::2f03b14b-ae97-4724-8462-7004e89db180" providerId="AD"/>
  <person displayName="Lalwani, Nisha" id="{D3AF5ECC-5DB1-42D7-9005-DFFD46F56BE0}" userId="S::Nisha.Lalwani@philips.com::48605987-6a20-4a61-971d-bcb4a1e57755" providerId="AD"/>
  <person displayName="Marini, Silvia" id="{885D249A-4501-4E7A-AFDE-D3227B9624C4}" userId="S::silvia.marini@philips.com::cad30073-cf54-4544-b201-54e184a74594" providerId="AD"/>
  <person displayName="Kumar, Sumit" id="{4177E5D1-089E-4D2F-9BC6-DF5550A2501B}" userId="S::sumit.kumar_3@philips.com::994ef10c-b8b4-4ac2-ab8f-8fb891600820" providerId="AD"/>
  <person displayName="Chowdhary, Abhishek" id="{CFF26F6B-FCA6-47E0-A308-3AEE56D73346}" userId="S::Abhishek.Chowdhary@philips.com::08262288-e1c5-4353-8480-f93ef1ae197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75C30CF-0BD4-49E0-87D7-8213A79DC6D6}" name="Quality" displayName="Quality" ref="A4:T14" totalsRowShown="0">
  <autoFilter ref="A4:T14" xr:uid="{F75C30CF-0BD4-49E0-87D7-8213A79DC6D6}"/>
  <tableColumns count="20">
    <tableColumn id="1" xr3:uid="{CB763502-4198-4E17-8D34-92A056D07970}" name="KPI Name"/>
    <tableColumn id="2" xr3:uid="{F5895192-A08A-4325-AAE3-AB2036D5CB1B}" name="KPI  Definition"/>
    <tableColumn id="3" xr3:uid="{235F2F65-ADE5-451F-A217-7BE84EC8FA30}" name="Operators"/>
    <tableColumn id="4" xr3:uid="{F6309809-A16D-4869-9FE4-25690AEAF935}" name="Target AOP 2026"/>
    <tableColumn id="5" xr3:uid="{876D18CC-C279-46A8-812C-31F3BCBFAA47}" name="Units"/>
    <tableColumn id="6" xr3:uid="{51581605-CF9B-4FB4-9807-A58C0C536FF8}" name="Metric nature"/>
    <tableColumn id="7" xr3:uid="{E89545B8-D338-4BCE-8336-7DC6F9BCD730}" name="Frequency"/>
    <tableColumn id="8" xr3:uid="{7F9D4A63-656C-4809-9982-6F2560B4EC15}" name="Target/ Actual">
      <calculatedColumnFormula>IF('1.Quality'!H20="","",'1.Quality'!H20)</calculatedColumnFormula>
    </tableColumn>
    <tableColumn id="9" xr3:uid="{53B6667C-F1B5-4DC2-81DA-87E96FAD3171}" name="Jan-2026">
      <calculatedColumnFormula>IF('1.Quality'!I20="","",'1.Quality'!I20)</calculatedColumnFormula>
    </tableColumn>
    <tableColumn id="10" xr3:uid="{2F8AAC4C-F579-42A7-9BEB-CB117166629D}" name="Feb-2026">
      <calculatedColumnFormula>IF('1.Quality'!J20="","",'1.Quality'!J20)</calculatedColumnFormula>
    </tableColumn>
    <tableColumn id="11" xr3:uid="{3ACF9211-E71E-43A1-9242-0115531CA4F0}" name="Mar-2026">
      <calculatedColumnFormula>IF('1.Quality'!K20="","",'1.Quality'!K20)</calculatedColumnFormula>
    </tableColumn>
    <tableColumn id="12" xr3:uid="{30245EE1-0AF5-4A22-9C6E-75D85884A094}" name="Apr-2026">
      <calculatedColumnFormula>IF('1.Quality'!L20="","",'1.Quality'!L20)</calculatedColumnFormula>
    </tableColumn>
    <tableColumn id="13" xr3:uid="{87373D78-1257-4488-B8EA-1763D948995E}" name="May-2026">
      <calculatedColumnFormula>IF('1.Quality'!M20="","",'1.Quality'!M20)</calculatedColumnFormula>
    </tableColumn>
    <tableColumn id="14" xr3:uid="{086DC33C-0526-473D-833B-D465AD6A65C3}" name="Jun-2026">
      <calculatedColumnFormula>IF('1.Quality'!N20="","",'1.Quality'!N20)</calculatedColumnFormula>
    </tableColumn>
    <tableColumn id="15" xr3:uid="{B5CFA7DC-8738-4A1C-B274-25CE48FFE048}" name="Jul-2026">
      <calculatedColumnFormula>IF('1.Quality'!O20="","",'1.Quality'!O20)</calculatedColumnFormula>
    </tableColumn>
    <tableColumn id="16" xr3:uid="{7EE16EE2-EB8D-4DD4-8296-0E4DECCE8FBB}" name="Aug-2026">
      <calculatedColumnFormula>IF('1.Quality'!P20="","",'1.Quality'!P20)</calculatedColumnFormula>
    </tableColumn>
    <tableColumn id="17" xr3:uid="{63B68EEC-40C3-4EA3-B36F-0BEE06A5F315}" name="Sep-2026">
      <calculatedColumnFormula>IF('1.Quality'!Q20="","",'1.Quality'!Q20)</calculatedColumnFormula>
    </tableColumn>
    <tableColumn id="18" xr3:uid="{E7A9E81C-2538-4D5C-A19B-3DE65AAEDA06}" name="Oct-2026">
      <calculatedColumnFormula>IF('1.Quality'!R20="","",'1.Quality'!R20)</calculatedColumnFormula>
    </tableColumn>
    <tableColumn id="19" xr3:uid="{4658E71D-A5E9-4B54-9868-77038E4213FA}" name="Nov-2026">
      <calculatedColumnFormula>IF('1.Quality'!S20="","",'1.Quality'!S20)</calculatedColumnFormula>
    </tableColumn>
    <tableColumn id="20" xr3:uid="{C7072DC5-5936-4F8E-97B7-7026D851C646}" name="Dec-2026">
      <calculatedColumnFormula>IF('1.Quality'!T20="","",'1.Quality'!T20)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573682C-8552-446B-A2AB-BC0B2D630908}" name="Regulatory" displayName="Regulatory" ref="A17:T25" totalsRowShown="0">
  <autoFilter ref="A17:T25" xr:uid="{C573682C-8552-446B-A2AB-BC0B2D630908}"/>
  <tableColumns count="20">
    <tableColumn id="1" xr3:uid="{2945D470-7E63-49BB-AD81-BE2069BD3925}" name="KPI Name"/>
    <tableColumn id="2" xr3:uid="{EB4215EB-FA75-4808-B1AD-F219CB4E1C30}" name="KPI  Definition"/>
    <tableColumn id="3" xr3:uid="{B1587B35-72EE-4D61-9A4D-53A67EAC80A0}" name="Operators"/>
    <tableColumn id="4" xr3:uid="{CAC52D8D-DA5A-4A5E-8BFF-8CD9447B8490}" name="Target AOP 2026"/>
    <tableColumn id="5" xr3:uid="{AAAB36C2-0D2E-47E8-A1C3-21EBEC63EA80}" name="Units"/>
    <tableColumn id="6" xr3:uid="{8946A8BD-3CCB-4028-ADE4-DEDD967C61B0}" name="Metric nature"/>
    <tableColumn id="7" xr3:uid="{1BFE93BB-6A1B-4FE0-8418-1A72E93AFC6B}" name="Frequency"/>
    <tableColumn id="8" xr3:uid="{43DC5D3A-A644-4249-9C03-AFE97EA108FA}" name="Target/ Actual">
      <calculatedColumnFormula>IF('2.Regulatory'!H14="","",'2.Regulatory'!H14)</calculatedColumnFormula>
    </tableColumn>
    <tableColumn id="9" xr3:uid="{FB60A5CD-09B0-43F9-98BA-F7B15DF36988}" name="Jan-2026">
      <calculatedColumnFormula>IF('2.Regulatory'!I14="","",'2.Regulatory'!I14)</calculatedColumnFormula>
    </tableColumn>
    <tableColumn id="10" xr3:uid="{7A5B98E2-3D84-4595-B438-F0E1C1DB1E85}" name="Feb-2026">
      <calculatedColumnFormula>IF('2.Regulatory'!J14="","",'2.Regulatory'!J14)</calculatedColumnFormula>
    </tableColumn>
    <tableColumn id="11" xr3:uid="{C27A367A-F83D-432D-8CE6-F4CC2714CBC6}" name="Mar-2026">
      <calculatedColumnFormula>IF('2.Regulatory'!K14="","",'2.Regulatory'!K14)</calculatedColumnFormula>
    </tableColumn>
    <tableColumn id="12" xr3:uid="{783B8494-997A-42C8-8D5B-EF2E3D20710A}" name="Apr-2026">
      <calculatedColumnFormula>IF('2.Regulatory'!L14="","",'2.Regulatory'!L14)</calculatedColumnFormula>
    </tableColumn>
    <tableColumn id="13" xr3:uid="{64348482-18FB-46E1-83C6-E31A87DC7CB0}" name="May-2026">
      <calculatedColumnFormula>IF('2.Regulatory'!M14="","",'2.Regulatory'!M14)</calculatedColumnFormula>
    </tableColumn>
    <tableColumn id="14" xr3:uid="{7719D17E-6E7B-4000-9DD2-FF80465878E7}" name="Jun-2026">
      <calculatedColumnFormula>IF('2.Regulatory'!N14="","",'2.Regulatory'!N14)</calculatedColumnFormula>
    </tableColumn>
    <tableColumn id="15" xr3:uid="{FBB9EA83-4CE2-44BF-8B03-D0BF4E29B0F7}" name="Jul-2026">
      <calculatedColumnFormula>IF('2.Regulatory'!O14="","",'2.Regulatory'!O14)</calculatedColumnFormula>
    </tableColumn>
    <tableColumn id="16" xr3:uid="{596090BA-9051-4BAB-8485-F7AFB1934F48}" name="Aug-2026">
      <calculatedColumnFormula>IF('2.Regulatory'!P14="","",'2.Regulatory'!P14)</calculatedColumnFormula>
    </tableColumn>
    <tableColumn id="17" xr3:uid="{1E03FF1D-09D1-4557-A7D8-67C2CD61BF15}" name="Sep-2026">
      <calculatedColumnFormula>IF('2.Regulatory'!Q14="","",'2.Regulatory'!Q14)</calculatedColumnFormula>
    </tableColumn>
    <tableColumn id="18" xr3:uid="{6A55E6A9-70E3-4EA6-914F-CD8A625FE308}" name="Oct-2026">
      <calculatedColumnFormula>IF('2.Regulatory'!R14="","",'2.Regulatory'!R14)</calculatedColumnFormula>
    </tableColumn>
    <tableColumn id="19" xr3:uid="{60651308-B716-40A4-B2F5-74FC435293C7}" name="Nov-2026">
      <calculatedColumnFormula>IF('2.Regulatory'!S14="","",'2.Regulatory'!S14)</calculatedColumnFormula>
    </tableColumn>
    <tableColumn id="20" xr3:uid="{66DD302F-3E91-4D1E-821A-B0D756B40550}" name="Dec-2026">
      <calculatedColumnFormula>IF('2.Regulatory'!T14="","",'2.Regulatory'!T14)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24DE527-AA89-4CF4-B196-8B362330DD2F}" name="ISC" displayName="ISC" ref="A28:T40" totalsRowShown="0">
  <autoFilter ref="A28:T40" xr:uid="{624DE527-AA89-4CF4-B196-8B362330DD2F}"/>
  <tableColumns count="20">
    <tableColumn id="1" xr3:uid="{BDAD3463-70DB-42E2-A2A3-BD96972387F7}" name="KPI Name"/>
    <tableColumn id="2" xr3:uid="{49EC83A1-7D02-43BB-AEE6-0469D535B331}" name="KPI  Definition"/>
    <tableColumn id="3" xr3:uid="{BAFFC8AC-7A31-441F-A0A5-9278819443DD}" name="Operators"/>
    <tableColumn id="4" xr3:uid="{1559968B-17C9-4D46-A220-FEE5616CC6D3}" name="Target AOP 2026"/>
    <tableColumn id="5" xr3:uid="{C574E383-EEEC-47D1-8CEB-F02DDE236CF1}" name="Units"/>
    <tableColumn id="6" xr3:uid="{D6687DC2-A354-4507-A473-D30CB949A3FE}" name="Metric nature"/>
    <tableColumn id="7" xr3:uid="{5B211656-BF62-4A3F-8275-C71FA4118E1B}" name="Frequency"/>
    <tableColumn id="8" xr3:uid="{BD340F2D-C6C3-47CD-9B1C-8E5DB4F52369}" name="Target/ Actual">
      <calculatedColumnFormula>IF('3.ISC '!H14="","",'3.ISC '!H14)</calculatedColumnFormula>
    </tableColumn>
    <tableColumn id="9" xr3:uid="{DFD7A489-2941-4F35-8065-26EB1D1CDDCA}" name="Jan-2026">
      <calculatedColumnFormula>IF('3.ISC '!I14="","",'3.ISC '!I14)</calculatedColumnFormula>
    </tableColumn>
    <tableColumn id="10" xr3:uid="{078E71AC-A7A5-47BC-9B72-DACC4D500486}" name="Feb-2026">
      <calculatedColumnFormula>IF('3.ISC '!J14="","",'3.ISC '!J14)</calculatedColumnFormula>
    </tableColumn>
    <tableColumn id="11" xr3:uid="{C8F3AF50-D557-4F55-A4B3-6ECD2ACD9BD6}" name="Mar-2026">
      <calculatedColumnFormula>IF('3.ISC '!K14="","",'3.ISC '!K14)</calculatedColumnFormula>
    </tableColumn>
    <tableColumn id="12" xr3:uid="{67836060-3595-46B5-9D12-6AFDF1E659AE}" name="Apr-2026">
      <calculatedColumnFormula>IF('3.ISC '!L14="","",'3.ISC '!L14)</calculatedColumnFormula>
    </tableColumn>
    <tableColumn id="13" xr3:uid="{2F22F835-CAF8-47CF-84E9-071169AAD95C}" name="May-2026">
      <calculatedColumnFormula>IF('3.ISC '!M14="","",'3.ISC '!M14)</calculatedColumnFormula>
    </tableColumn>
    <tableColumn id="14" xr3:uid="{D5D14138-D634-4EFA-A018-AD22BC144864}" name="Jun-2026">
      <calculatedColumnFormula>IF('3.ISC '!N14="","",'3.ISC '!N14)</calculatedColumnFormula>
    </tableColumn>
    <tableColumn id="15" xr3:uid="{078635D4-70E9-40A7-AC6B-75FF53EBB640}" name="Jul-2026">
      <calculatedColumnFormula>IF('3.ISC '!O14="","",'3.ISC '!O14)</calculatedColumnFormula>
    </tableColumn>
    <tableColumn id="16" xr3:uid="{84D3305B-E114-4542-9F20-5B8420FAFCE5}" name="Aug-2026">
      <calculatedColumnFormula>IF('3.ISC '!P14="","",'3.ISC '!P14)</calculatedColumnFormula>
    </tableColumn>
    <tableColumn id="17" xr3:uid="{FF88D993-5E40-45E1-85B0-6B21FEBAAAA9}" name="Sep-2026">
      <calculatedColumnFormula>IF('3.ISC '!Q14="","",'3.ISC '!Q14)</calculatedColumnFormula>
    </tableColumn>
    <tableColumn id="18" xr3:uid="{2B00479C-E3AE-4952-ABEB-5D4C7845974B}" name="Oct-2026">
      <calculatedColumnFormula>IF('3.ISC '!R14="","",'3.ISC '!R14)</calculatedColumnFormula>
    </tableColumn>
    <tableColumn id="19" xr3:uid="{B6ED4F9A-874C-437A-920C-4B61E1E91273}" name="Nov-2026">
      <calculatedColumnFormula>IF('3.ISC '!S14="","",'3.ISC '!S14)</calculatedColumnFormula>
    </tableColumn>
    <tableColumn id="20" xr3:uid="{D5187049-0088-42AC-9E6D-6E88AEE05B4B}" name="Dec-2026">
      <calculatedColumnFormula>IF('3.ISC '!T14="","",'3.ISC '!T14)</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15AD19A-03C1-4291-A57D-AD24677204DB}" name="Supplier_Quality" displayName="Supplier_Quality" ref="A43:T47" totalsRowShown="0" headerRowDxfId="675">
  <autoFilter ref="A43:T47" xr:uid="{615AD19A-03C1-4291-A57D-AD24677204DB}"/>
  <tableColumns count="20">
    <tableColumn id="1" xr3:uid="{4CD459BF-26D3-4B5C-843C-F210405DE0A5}" name="KPI Name"/>
    <tableColumn id="2" xr3:uid="{2512D574-EB76-449C-8A74-85AD32E2F003}" name="KPI  Definition"/>
    <tableColumn id="3" xr3:uid="{AC145192-7C08-4909-9CC8-86F493B40903}" name="Operators"/>
    <tableColumn id="4" xr3:uid="{989FD322-B79C-47C2-B1FC-27B693798795}" name="Target AOP 2026"/>
    <tableColumn id="5" xr3:uid="{B20D904A-6A38-4714-BFC2-69FF2C40161B}" name="Units"/>
    <tableColumn id="6" xr3:uid="{19324F17-A026-4F5F-931A-7A6629E4E6A0}" name="Metric nature"/>
    <tableColumn id="7" xr3:uid="{D308109F-9F9D-4845-A883-ACB62010A4C3}" name="Frequency"/>
    <tableColumn id="8" xr3:uid="{AFE1D7F8-F459-499E-9D47-76B86D354387}" name="Target/ Actual">
      <calculatedColumnFormula>IF('3.ISC '!#REF!="","",'3.ISC '!#REF!)</calculatedColumnFormula>
    </tableColumn>
    <tableColumn id="9" xr3:uid="{880BFF0D-ECAB-4A1F-8D02-EE2C6FAF9F02}" name="Jan-2026">
      <calculatedColumnFormula>IF('3.ISC '!#REF!="","",'3.ISC '!#REF!)</calculatedColumnFormula>
    </tableColumn>
    <tableColumn id="10" xr3:uid="{E7E9A8FC-C1B7-4438-A073-709BB1E322B4}" name="Feb-2026">
      <calculatedColumnFormula>IF('3.ISC '!#REF!="","",'3.ISC '!#REF!)</calculatedColumnFormula>
    </tableColumn>
    <tableColumn id="11" xr3:uid="{0F3FAAF8-67FA-4BD8-9175-F43E0EEE9C04}" name="Mar-2026">
      <calculatedColumnFormula>IF('3.ISC '!#REF!="","",'3.ISC '!#REF!)</calculatedColumnFormula>
    </tableColumn>
    <tableColumn id="12" xr3:uid="{62359846-FABB-4598-B115-E99C4BA4DF33}" name="Apr-2026">
      <calculatedColumnFormula>IF('3.ISC '!#REF!="","",'3.ISC '!#REF!)</calculatedColumnFormula>
    </tableColumn>
    <tableColumn id="13" xr3:uid="{0646F333-59C9-414A-9A27-B60A4BD6FB7A}" name="May-2026">
      <calculatedColumnFormula>IF('3.ISC '!#REF!="","",'3.ISC '!#REF!)</calculatedColumnFormula>
    </tableColumn>
    <tableColumn id="14" xr3:uid="{BBB09A11-F923-45D1-9AB7-384DB1353F4E}" name="Jun-2026">
      <calculatedColumnFormula>IF('3.ISC '!#REF!="","",'3.ISC '!#REF!)</calculatedColumnFormula>
    </tableColumn>
    <tableColumn id="15" xr3:uid="{7B36E093-5299-4049-8090-45E2F33BD48F}" name="Jul-2026">
      <calculatedColumnFormula>IF('3.ISC '!#REF!="","",'3.ISC '!#REF!)</calculatedColumnFormula>
    </tableColumn>
    <tableColumn id="16" xr3:uid="{EBDA3737-8AC3-4D33-B270-AEC58A5DDE70}" name="Aug-2026">
      <calculatedColumnFormula>IF('3.ISC '!#REF!="","",'3.ISC '!#REF!)</calculatedColumnFormula>
    </tableColumn>
    <tableColumn id="17" xr3:uid="{CE609401-B3C5-4369-B268-E3934941ECFB}" name="Sep-2026">
      <calculatedColumnFormula>IF('3.ISC '!#REF!="","",'3.ISC '!#REF!)</calculatedColumnFormula>
    </tableColumn>
    <tableColumn id="18" xr3:uid="{74D83BAD-5B39-4095-8948-CB3A24FF1E66}" name="Oct-2026">
      <calculatedColumnFormula>IF('3.ISC '!#REF!="","",'3.ISC '!#REF!)</calculatedColumnFormula>
    </tableColumn>
    <tableColumn id="19" xr3:uid="{35755D2B-8371-4C33-893A-BB4A55FB04BE}" name="Nov-2026">
      <calculatedColumnFormula>IF('3.ISC '!#REF!="","",'3.ISC '!#REF!)</calculatedColumnFormula>
    </tableColumn>
    <tableColumn id="20" xr3:uid="{4DADDFED-D3CB-4B2E-AABE-A2CD938BE8E7}" name="Dec-2026">
      <calculatedColumnFormula>IF('3.ISC '!#REF!="","",'3.ISC '!#REF!)</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73340A5-45D0-4E40-B7D8-09AE6561561A}" name="Procurement" displayName="Procurement" ref="A50:T58" totalsRowShown="0">
  <autoFilter ref="A50:T58" xr:uid="{573340A5-45D0-4E40-B7D8-09AE6561561A}"/>
  <tableColumns count="20">
    <tableColumn id="1" xr3:uid="{E2D85E68-FE0D-46C8-9AA9-F291862056DE}" name="KPI Name"/>
    <tableColumn id="2" xr3:uid="{883F01F8-A373-4513-9AE2-83DE0A391461}" name="KPI  Definition"/>
    <tableColumn id="3" xr3:uid="{820025F9-F663-457E-B547-BB3B87D5BEC1}" name="Operators"/>
    <tableColumn id="4" xr3:uid="{5889C421-09C2-422F-A6D5-9A9982094979}" name="Target AOP 2026"/>
    <tableColumn id="5" xr3:uid="{76B8C58D-EE00-4149-8C7C-4A9F606363F0}" name="Units"/>
    <tableColumn id="6" xr3:uid="{964B37FB-157A-47A1-84C0-F1CAF7029894}" name="Metric nature"/>
    <tableColumn id="7" xr3:uid="{93BD5A82-82EB-4860-8561-8CF5C7AC41EF}" name="Frequency"/>
    <tableColumn id="8" xr3:uid="{E8A60F52-64EB-4642-A05C-8BDAA0F1F07F}" name="Target/ Actual">
      <calculatedColumnFormula>IF('4.Procurement'!H14="","",'4.Procurement'!H14)</calculatedColumnFormula>
    </tableColumn>
    <tableColumn id="9" xr3:uid="{FB15C3D7-0879-4123-9D53-6B39618C3B3E}" name="Jan-2026">
      <calculatedColumnFormula>IF('4.Procurement'!I14="","",'4.Procurement'!I14)</calculatedColumnFormula>
    </tableColumn>
    <tableColumn id="10" xr3:uid="{342DBC0A-FF90-46BB-AB6C-F32AE18E42AE}" name="Feb-2026">
      <calculatedColumnFormula>IF('4.Procurement'!J14="","",'4.Procurement'!J14)</calculatedColumnFormula>
    </tableColumn>
    <tableColumn id="11" xr3:uid="{FEC9DBEF-208E-443E-81F0-EB94D8C0364E}" name="Mar-2026">
      <calculatedColumnFormula>IF('4.Procurement'!K14="","",'4.Procurement'!K14)</calculatedColumnFormula>
    </tableColumn>
    <tableColumn id="12" xr3:uid="{F67438D7-5736-412C-AD1E-F15C82AFF015}" name="Apr-2026">
      <calculatedColumnFormula>IF('4.Procurement'!L14="","",'4.Procurement'!L14)</calculatedColumnFormula>
    </tableColumn>
    <tableColumn id="13" xr3:uid="{E0FD2F4C-4AFC-4F9C-903A-A8EEC4A42ED1}" name="May-2026">
      <calculatedColumnFormula>IF('4.Procurement'!M14="","",'4.Procurement'!M14)</calculatedColumnFormula>
    </tableColumn>
    <tableColumn id="14" xr3:uid="{28B46AB7-3D81-4604-9282-DE87CEEF6130}" name="Jun-2026">
      <calculatedColumnFormula>IF('4.Procurement'!N14="","",'4.Procurement'!N14)</calculatedColumnFormula>
    </tableColumn>
    <tableColumn id="15" xr3:uid="{341278F8-E31A-4008-8BDF-6F81C5697058}" name="Jul-2026">
      <calculatedColumnFormula>IF('4.Procurement'!O14="","",'4.Procurement'!O14)</calculatedColumnFormula>
    </tableColumn>
    <tableColumn id="16" xr3:uid="{E6AFE192-254F-41ED-AB44-72A5760F5A21}" name="Aug-2026">
      <calculatedColumnFormula>IF('4.Procurement'!P14="","",'4.Procurement'!P14)</calculatedColumnFormula>
    </tableColumn>
    <tableColumn id="17" xr3:uid="{8A84708C-FE3A-4E5D-80B7-3D6C261F797E}" name="Sep-2026">
      <calculatedColumnFormula>IF('4.Procurement'!Q14="","",'4.Procurement'!Q14)</calculatedColumnFormula>
    </tableColumn>
    <tableColumn id="18" xr3:uid="{61642B4F-86CE-468A-BECC-3D2579C2E3AB}" name="Oct-2026">
      <calculatedColumnFormula>IF('4.Procurement'!R14="","",'4.Procurement'!R14)</calculatedColumnFormula>
    </tableColumn>
    <tableColumn id="19" xr3:uid="{2C916EEA-0A8C-4137-A94A-85B46E7AE650}" name="Nov-2026">
      <calculatedColumnFormula>IF('4.Procurement'!S14="","",'4.Procurement'!S14)</calculatedColumnFormula>
    </tableColumn>
    <tableColumn id="20" xr3:uid="{FFDD32C9-1224-4637-8048-F78597AD5BE5}" name="Dec-2026">
      <calculatedColumnFormula>IF('4.Procurement'!T14="","",'4.Procurement'!T14)</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2530781-EA68-468D-9FDE-26352A3FE67C}" name="R_D" displayName="R_D" ref="A61:T69" totalsRowShown="0" headerRowDxfId="674">
  <autoFilter ref="A61:T69" xr:uid="{12530781-EA68-468D-9FDE-26352A3FE67C}"/>
  <tableColumns count="20">
    <tableColumn id="1" xr3:uid="{1CCE1699-193A-44CF-9BEB-3AFDCDF204B7}" name="KPI Name"/>
    <tableColumn id="2" xr3:uid="{3271A483-C070-4FD6-BEFF-A2019FFF8D99}" name="KPI  Definition"/>
    <tableColumn id="3" xr3:uid="{5F9B0FC8-637B-459D-9A9A-4C18EF601407}" name="Operators"/>
    <tableColumn id="4" xr3:uid="{25FC5E63-4C47-4C2F-8DEA-2374D9BF2152}" name="Target AOP 2026"/>
    <tableColumn id="5" xr3:uid="{8ECD0E2B-7C5D-4E6D-B80D-F3477C7778B4}" name="Units"/>
    <tableColumn id="6" xr3:uid="{411F8F2D-1F8A-405C-AAC7-D1CA5F584DBE}" name="Metric nature"/>
    <tableColumn id="7" xr3:uid="{F940AC63-6FB2-498C-8704-BB70542D9C79}" name="Frequency"/>
    <tableColumn id="8" xr3:uid="{CA481147-FFC1-4D15-A510-346CC50F0B4B}" name="Target/ Actual">
      <calculatedColumnFormula>IF('5.R&amp;D '!H14="","",'5.R&amp;D '!H14)</calculatedColumnFormula>
    </tableColumn>
    <tableColumn id="9" xr3:uid="{54861E16-B4F1-4506-9175-3C09E736F3C9}" name="Jan-2026">
      <calculatedColumnFormula>IF('5.R&amp;D '!I14="","",'5.R&amp;D '!I14)</calculatedColumnFormula>
    </tableColumn>
    <tableColumn id="10" xr3:uid="{98965946-29A5-482F-A97F-AD575F3C628C}" name="Feb-2026">
      <calculatedColumnFormula>IF('5.R&amp;D '!J14="","",'5.R&amp;D '!J14)</calculatedColumnFormula>
    </tableColumn>
    <tableColumn id="11" xr3:uid="{75676B24-2012-4109-8D79-06E04F88C674}" name="Mar-2026">
      <calculatedColumnFormula>IF('5.R&amp;D '!K14="","",'5.R&amp;D '!K14)</calculatedColumnFormula>
    </tableColumn>
    <tableColumn id="12" xr3:uid="{75EBD874-D608-4E36-8DA9-68CDABB85FE8}" name="Apr-2026">
      <calculatedColumnFormula>IF('5.R&amp;D '!L14="","",'5.R&amp;D '!L14)</calculatedColumnFormula>
    </tableColumn>
    <tableColumn id="13" xr3:uid="{E28DC1E4-86F5-483D-916A-99DDDBCAD8EC}" name="May-2026">
      <calculatedColumnFormula>IF('5.R&amp;D '!M14="","",'5.R&amp;D '!M14)</calculatedColumnFormula>
    </tableColumn>
    <tableColumn id="14" xr3:uid="{CA791C45-197C-4DAB-9413-B58A173EE5B3}" name="Jun-2026">
      <calculatedColumnFormula>IF('5.R&amp;D '!N14="","",'5.R&amp;D '!N14)</calculatedColumnFormula>
    </tableColumn>
    <tableColumn id="15" xr3:uid="{F3EDE3B3-00C7-4250-991B-619D2BB048BA}" name="Jul-2026">
      <calculatedColumnFormula>IF('5.R&amp;D '!O14="","",'5.R&amp;D '!O14)</calculatedColumnFormula>
    </tableColumn>
    <tableColumn id="16" xr3:uid="{4E00CC98-1E86-4CFF-89EE-D399A96DE9C4}" name="Aug-2026">
      <calculatedColumnFormula>IF('5.R&amp;D '!P14="","",'5.R&amp;D '!P14)</calculatedColumnFormula>
    </tableColumn>
    <tableColumn id="17" xr3:uid="{ECDCB8E6-4CC8-4198-801A-1F18315ADC72}" name="Sep-2026">
      <calculatedColumnFormula>IF('5.R&amp;D '!Q14="","",'5.R&amp;D '!Q14)</calculatedColumnFormula>
    </tableColumn>
    <tableColumn id="18" xr3:uid="{544D23D0-D4C9-48CE-96C5-A127E3181245}" name="Oct-2026">
      <calculatedColumnFormula>IF('5.R&amp;D '!R14="","",'5.R&amp;D '!R14)</calculatedColumnFormula>
    </tableColumn>
    <tableColumn id="19" xr3:uid="{8477E61C-AA9E-431D-BDC7-826E666C4DCA}" name="Nov-2026">
      <calculatedColumnFormula>IF('5.R&amp;D '!S14="","",'5.R&amp;D '!S14)</calculatedColumnFormula>
    </tableColumn>
    <tableColumn id="20" xr3:uid="{1B027B2C-9803-4367-91EC-F5EE6BFACDA4}" name="Dec-2026">
      <calculatedColumnFormula>IF('5.R&amp;D '!T14="","",'5.R&amp;D '!T14)</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801F84C-899D-43FD-AB9A-5B72171B7559}" name="Marketing" displayName="Marketing" ref="A72:T78" totalsRowShown="0">
  <autoFilter ref="A72:T78" xr:uid="{2801F84C-899D-43FD-AB9A-5B72171B7559}"/>
  <tableColumns count="20">
    <tableColumn id="1" xr3:uid="{BC9A3428-F3D5-4BB1-9332-EB998407C90B}" name="KPI Name"/>
    <tableColumn id="2" xr3:uid="{2A150BBF-140B-4F6A-A63E-7B961440DFF3}" name="KPI  Definition"/>
    <tableColumn id="3" xr3:uid="{00A25C21-0FBB-4307-8311-5E2E292A8435}" name="Operators"/>
    <tableColumn id="4" xr3:uid="{9A910EB1-52A8-46E0-8776-8C68DFC7D309}" name="Target AOP 2026"/>
    <tableColumn id="5" xr3:uid="{25E29B30-6BF7-4219-B4D1-BAA0DB685094}" name="Units"/>
    <tableColumn id="6" xr3:uid="{8EB5289C-28D6-49CA-99E5-06720BC0EB9E}" name="Metric nature"/>
    <tableColumn id="7" xr3:uid="{26BEB7F5-3C9F-4514-ACD9-78395FDEDECC}" name="Frequency"/>
    <tableColumn id="8" xr3:uid="{6659ED25-7174-416A-BE0E-7FA56DF8AE3E}" name="Target/ Actual">
      <calculatedColumnFormula>IF(#REF!="","",#REF!)</calculatedColumnFormula>
    </tableColumn>
    <tableColumn id="9" xr3:uid="{2DCF1C3E-9C7D-452A-9DDF-772BB2C4C792}" name="Jan-2026">
      <calculatedColumnFormula>IF(#REF!="","",#REF!)</calculatedColumnFormula>
    </tableColumn>
    <tableColumn id="10" xr3:uid="{D994CF90-E6A6-4415-A98B-B3E0335D1911}" name="Feb-2026">
      <calculatedColumnFormula>IF(#REF!="","",#REF!)</calculatedColumnFormula>
    </tableColumn>
    <tableColumn id="11" xr3:uid="{CCB34222-0716-4003-9589-1BFB3C09E898}" name="Mar-2026">
      <calculatedColumnFormula>IF(#REF!="","",#REF!)</calculatedColumnFormula>
    </tableColumn>
    <tableColumn id="12" xr3:uid="{7FE6687A-BE88-40AF-A22F-89A5C72EDCE2}" name="Apr-2026">
      <calculatedColumnFormula>IF(#REF!="","",#REF!)</calculatedColumnFormula>
    </tableColumn>
    <tableColumn id="13" xr3:uid="{C05C5963-287A-42F1-A008-15E3750AC3F6}" name="May-2026">
      <calculatedColumnFormula>IF(#REF!="","",#REF!)</calculatedColumnFormula>
    </tableColumn>
    <tableColumn id="14" xr3:uid="{6DDD191D-0D68-468B-95B2-C6CB0A5A4335}" name="Jun-2026">
      <calculatedColumnFormula>IF(#REF!="","",#REF!)</calculatedColumnFormula>
    </tableColumn>
    <tableColumn id="15" xr3:uid="{60E43BF6-895C-4128-AF17-91775A82E4C0}" name="Jul-2026">
      <calculatedColumnFormula>IF(#REF!="","",#REF!)</calculatedColumnFormula>
    </tableColumn>
    <tableColumn id="16" xr3:uid="{719A08CA-A5A9-4A82-A54D-E179064C34D4}" name="Aug-2026">
      <calculatedColumnFormula>IF(#REF!="","",#REF!)</calculatedColumnFormula>
    </tableColumn>
    <tableColumn id="17" xr3:uid="{94AA8DA6-8F4A-4E80-8639-FFBE48276C50}" name="Sep-2026">
      <calculatedColumnFormula>IF(#REF!="","",#REF!)</calculatedColumnFormula>
    </tableColumn>
    <tableColumn id="18" xr3:uid="{58310E42-341B-4236-90BE-06CCCB2D48F8}" name="Oct-2026">
      <calculatedColumnFormula>IF(#REF!="","",#REF!)</calculatedColumnFormula>
    </tableColumn>
    <tableColumn id="19" xr3:uid="{D02726A1-6E21-462E-88F5-005CCF6818FF}" name="Nov-2026">
      <calculatedColumnFormula>IF(#REF!="","",#REF!)</calculatedColumnFormula>
    </tableColumn>
    <tableColumn id="20" xr3:uid="{66AD816C-59F5-4C33-9FE3-DE958BDB618C}" name="Dec-2026">
      <calculatedColumnFormula>IF(#REF!="","",#REF!)</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FF8C9BA-7A2B-4A89-84DF-DFA3AE25758A}" name="Customer_Service" displayName="Customer_Service" ref="A81:T95" totalsRowShown="0">
  <autoFilter ref="A81:T95" xr:uid="{EFF8C9BA-7A2B-4A89-84DF-DFA3AE25758A}"/>
  <tableColumns count="20">
    <tableColumn id="1" xr3:uid="{1F7541DF-7E16-4F73-B775-B443C0C75339}" name="KPI Name"/>
    <tableColumn id="2" xr3:uid="{ED15D590-7502-4C1E-AC13-5352DEA07935}" name="KPI  Definition"/>
    <tableColumn id="3" xr3:uid="{816462C9-6EF4-4F0E-AE04-E1668E3E71AF}" name="Operators"/>
    <tableColumn id="4" xr3:uid="{5B6A7A71-1F39-48E3-932C-88D149CC465A}" name="Target AOP 2026"/>
    <tableColumn id="5" xr3:uid="{0EBC53D7-6075-4B18-897A-BB42B5C12930}" name="Units"/>
    <tableColumn id="6" xr3:uid="{17D23711-4A8F-4B5A-B489-87599BF6802F}" name="Metric nature"/>
    <tableColumn id="7" xr3:uid="{FCA0F345-6739-4182-BBE9-90F8FED4480B}" name="Frequency"/>
    <tableColumn id="8" xr3:uid="{CDA191DB-ABD3-4C46-9B4E-4EB16642D688}" name="Target/ Actual">
      <calculatedColumnFormula>IF('7.Customer Service'!H14="","",'7.Customer Service'!H14)</calculatedColumnFormula>
    </tableColumn>
    <tableColumn id="9" xr3:uid="{0DE732D1-2B78-4FA1-B13B-517D6F7454B9}" name="Jan-2026">
      <calculatedColumnFormula>IF('7.Customer Service'!I14="","",'7.Customer Service'!I14)</calculatedColumnFormula>
    </tableColumn>
    <tableColumn id="10" xr3:uid="{55F4AD0E-BA7D-4D63-8D35-729CB1FE8F41}" name="Feb-2026">
      <calculatedColumnFormula>IF('7.Customer Service'!J14="","",'7.Customer Service'!J14)</calculatedColumnFormula>
    </tableColumn>
    <tableColumn id="11" xr3:uid="{7F8BFFAB-DB3A-4E12-B4F5-6AD4B19D3C53}" name="Mar-2026">
      <calculatedColumnFormula>IF('7.Customer Service'!K14="","",'7.Customer Service'!K14)</calculatedColumnFormula>
    </tableColumn>
    <tableColumn id="12" xr3:uid="{1D347609-CFAD-436A-B02C-8A209143929F}" name="Apr-2026">
      <calculatedColumnFormula>IF('7.Customer Service'!L14="","",'7.Customer Service'!L14)</calculatedColumnFormula>
    </tableColumn>
    <tableColumn id="13" xr3:uid="{892EDE0E-AD30-4A7B-8BC5-6E65C9D1A75C}" name="May-2026">
      <calculatedColumnFormula>IF('7.Customer Service'!M14="","",'7.Customer Service'!M14)</calculatedColumnFormula>
    </tableColumn>
    <tableColumn id="14" xr3:uid="{71316E5E-4866-4FF1-B5AC-6D7CF2EBB971}" name="Jun-2026">
      <calculatedColumnFormula>IF('7.Customer Service'!N14="","",'7.Customer Service'!N14)</calculatedColumnFormula>
    </tableColumn>
    <tableColumn id="15" xr3:uid="{9070C2AB-CE8C-4F0B-9BA0-F7FE93FAB65B}" name="Jul-2026">
      <calculatedColumnFormula>IF('7.Customer Service'!O14="","",'7.Customer Service'!O14)</calculatedColumnFormula>
    </tableColumn>
    <tableColumn id="16" xr3:uid="{F05A783A-4E6C-400A-AC1F-24E18FE88B9B}" name="Aug-2026">
      <calculatedColumnFormula>IF('7.Customer Service'!P14="","",'7.Customer Service'!P14)</calculatedColumnFormula>
    </tableColumn>
    <tableColumn id="17" xr3:uid="{371E9E62-F099-4CC9-B620-286612518953}" name="Sep-2026">
      <calculatedColumnFormula>IF('7.Customer Service'!Q14="","",'7.Customer Service'!Q14)</calculatedColumnFormula>
    </tableColumn>
    <tableColumn id="18" xr3:uid="{F9607B2B-07F4-4FC6-A18C-92378911EE68}" name="Oct-2026">
      <calculatedColumnFormula>IF('7.Customer Service'!R14="","",'7.Customer Service'!R14)</calculatedColumnFormula>
    </tableColumn>
    <tableColumn id="19" xr3:uid="{B3D5FF69-303D-44F7-8448-32A3B4F8728A}" name="Nov-2026">
      <calculatedColumnFormula>IF('7.Customer Service'!S14="","",'7.Customer Service'!S14)</calculatedColumnFormula>
    </tableColumn>
    <tableColumn id="20" xr3:uid="{FA68005C-EF77-4EBF-B001-BAD8E9CEA97D}" name="Dec-2026">
      <calculatedColumnFormula>IF('7.Customer Service'!T14="","",'7.Customer Service'!T14)</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E103D8D-8085-4F0B-B188-828B49CC15FF}" name="Commercial_Excellence" displayName="Commercial_Excellence" ref="A98:T108" totalsRowShown="0">
  <autoFilter ref="A98:T108" xr:uid="{FE103D8D-8085-4F0B-B188-828B49CC15FF}"/>
  <tableColumns count="20">
    <tableColumn id="1" xr3:uid="{F56643FD-7A5A-4204-8C7D-A279D4BA77E5}" name="KPI Name"/>
    <tableColumn id="2" xr3:uid="{7CD7482F-9B72-42FF-92C6-13BB7B79875D}" name="KPI  Definition"/>
    <tableColumn id="3" xr3:uid="{D11CEB2B-0A06-4CF2-B438-FC70E9EF63A6}" name="Operators"/>
    <tableColumn id="4" xr3:uid="{8008262A-A31B-4B7E-AC9E-1F96CA6309B6}" name="Target AOP 2026"/>
    <tableColumn id="5" xr3:uid="{58F9C9CA-A501-4EF6-9FA3-9FF077A4A701}" name="Units"/>
    <tableColumn id="6" xr3:uid="{265165DB-24EA-4750-9AB6-679D259FFDDD}" name="Metric nature"/>
    <tableColumn id="7" xr3:uid="{780AE519-73D7-4F36-AD73-B9C537137AF6}" name="Frequency"/>
    <tableColumn id="8" xr3:uid="{7A2C906C-96C5-49D3-8FC1-69FA32DDCA3A}" name="Target/ Actual">
      <calculatedColumnFormula>IF('8.Commercial Excellence'!H14="","",'8.Commercial Excellence'!H14)</calculatedColumnFormula>
    </tableColumn>
    <tableColumn id="9" xr3:uid="{A36ABBB4-9954-449B-9B43-61CA894E5FE5}" name="Jan-2026">
      <calculatedColumnFormula>IF('8.Commercial Excellence'!I14="","",'8.Commercial Excellence'!I14)</calculatedColumnFormula>
    </tableColumn>
    <tableColumn id="10" xr3:uid="{C4EBEC97-78E9-40A7-A505-332C2CC2ABE8}" name="Feb-2026">
      <calculatedColumnFormula>IF('8.Commercial Excellence'!J14="","",'8.Commercial Excellence'!J14)</calculatedColumnFormula>
    </tableColumn>
    <tableColumn id="11" xr3:uid="{FA6F6110-01DB-431F-8A60-2C8F5D7CD615}" name="Mar-2026">
      <calculatedColumnFormula>IF('8.Commercial Excellence'!K14="","",'8.Commercial Excellence'!K14)</calculatedColumnFormula>
    </tableColumn>
    <tableColumn id="12" xr3:uid="{D7A8C534-FD08-4288-8807-FD457F8BC2EC}" name="Apr-2026">
      <calculatedColumnFormula>IF('8.Commercial Excellence'!L14="","",'8.Commercial Excellence'!L14)</calculatedColumnFormula>
    </tableColumn>
    <tableColumn id="13" xr3:uid="{CE3AF9C8-3D5E-4BC4-9D1A-A7605510A45C}" name="May-2026">
      <calculatedColumnFormula>IF('8.Commercial Excellence'!M14="","",'8.Commercial Excellence'!M14)</calculatedColumnFormula>
    </tableColumn>
    <tableColumn id="14" xr3:uid="{369D8821-023D-41E8-A310-3D2463D32288}" name="Jun-2026">
      <calculatedColumnFormula>IF('8.Commercial Excellence'!N14="","",'8.Commercial Excellence'!N14)</calculatedColumnFormula>
    </tableColumn>
    <tableColumn id="15" xr3:uid="{122B94C7-87F5-4356-ABA1-FA2B3BAF661A}" name="Jul-2026">
      <calculatedColumnFormula>IF('8.Commercial Excellence'!O14="","",'8.Commercial Excellence'!O14)</calculatedColumnFormula>
    </tableColumn>
    <tableColumn id="16" xr3:uid="{97248BCD-F31A-413E-A8F2-9632D27B2624}" name="Aug-2026">
      <calculatedColumnFormula>IF('8.Commercial Excellence'!P14="","",'8.Commercial Excellence'!P14)</calculatedColumnFormula>
    </tableColumn>
    <tableColumn id="17" xr3:uid="{601F61B5-CA00-4939-901A-174187A8DDFC}" name="Sep-2026">
      <calculatedColumnFormula>IF('8.Commercial Excellence'!Q14="","",'8.Commercial Excellence'!Q14)</calculatedColumnFormula>
    </tableColumn>
    <tableColumn id="18" xr3:uid="{EE7CD5CE-F9AA-43E5-A237-0E371F78D1A1}" name="Oct-2026">
      <calculatedColumnFormula>IF('8.Commercial Excellence'!R14="","",'8.Commercial Excellence'!R14)</calculatedColumnFormula>
    </tableColumn>
    <tableColumn id="19" xr3:uid="{E17EF420-6C64-4BE7-B87C-E188807B2BC2}" name="Nov-2026">
      <calculatedColumnFormula>IF('8.Commercial Excellence'!S14="","",'8.Commercial Excellence'!S14)</calculatedColumnFormula>
    </tableColumn>
    <tableColumn id="20" xr3:uid="{476D4082-AA49-4F3B-A6D8-AFE1AF4166F0}" name="Dec-2026">
      <calculatedColumnFormula>IF('8.Commercial Excellence'!T14="","",'8.Commercial Excellence'!T14)</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81DEAEB-D08A-4A6B-8405-688F00BBDD55}" name="NAR" displayName="NAR" ref="A111:T123" totalsRowShown="0" headerRowDxfId="673">
  <autoFilter ref="A111:T123" xr:uid="{F81DEAEB-D08A-4A6B-8405-688F00BBDD55}"/>
  <tableColumns count="20">
    <tableColumn id="1" xr3:uid="{4AA9040E-8108-4677-A0F5-4469353C0370}" name="KPI Name"/>
    <tableColumn id="2" xr3:uid="{0FE1714C-DA41-4C28-9644-3A8AF433F379}" name="KPI  Definition"/>
    <tableColumn id="3" xr3:uid="{39E231C8-256A-4DE9-B101-0C5F88A44E81}" name="Operators"/>
    <tableColumn id="4" xr3:uid="{6C2E3B3D-302D-4C5A-836E-6E2D1E99EDE0}" name="Target AOP 2026"/>
    <tableColumn id="5" xr3:uid="{9A7E504A-5886-43D4-B946-4899B76A0C1D}" name="Units"/>
    <tableColumn id="6" xr3:uid="{9D0C0765-8082-415F-B616-E257E974CACC}" name="Metric nature"/>
    <tableColumn id="7" xr3:uid="{12C16C04-F80E-4D1C-97A7-02F62C643C15}" name="Frequency"/>
    <tableColumn id="8" xr3:uid="{317A48D6-AD29-4D03-9E0D-79E7353521AA}" name="Target/ Actual">
      <calculatedColumnFormula>IF('9.NAR '!H14="","",'9.NAR '!H14)</calculatedColumnFormula>
    </tableColumn>
    <tableColumn id="9" xr3:uid="{49C219D4-76A8-4790-88A4-452D4BBA80FF}" name="Jan-2026">
      <calculatedColumnFormula>IF('9.NAR '!I14="","",'9.NAR '!I14)</calculatedColumnFormula>
    </tableColumn>
    <tableColumn id="10" xr3:uid="{840872B7-4386-435A-9112-7A6E48AF279B}" name="Feb-2026">
      <calculatedColumnFormula>IF('9.NAR '!J14="","",'9.NAR '!J14)</calculatedColumnFormula>
    </tableColumn>
    <tableColumn id="11" xr3:uid="{19202149-ED4F-4D26-903D-ED08EE02A307}" name="Mar-2026">
      <calculatedColumnFormula>IF('9.NAR '!K14="","",'9.NAR '!K14)</calculatedColumnFormula>
    </tableColumn>
    <tableColumn id="12" xr3:uid="{A8B666DA-404C-4ECC-9A57-CF5BC0BFE959}" name="Apr-2026">
      <calculatedColumnFormula>IF('9.NAR '!L14="","",'9.NAR '!L14)</calculatedColumnFormula>
    </tableColumn>
    <tableColumn id="13" xr3:uid="{19090113-F8F5-432B-A670-14D9F60D89ED}" name="May-2026">
      <calculatedColumnFormula>IF('9.NAR '!M14="","",'9.NAR '!M14)</calculatedColumnFormula>
    </tableColumn>
    <tableColumn id="14" xr3:uid="{CCAC19D3-83F0-428E-968E-DD2E661A774F}" name="Jun-2026">
      <calculatedColumnFormula>IF('9.NAR '!N14="","",'9.NAR '!N14)</calculatedColumnFormula>
    </tableColumn>
    <tableColumn id="15" xr3:uid="{CC68480E-DA02-4092-B62C-CB1EEDF59F49}" name="Jul-2026">
      <calculatedColumnFormula>IF('9.NAR '!O14="","",'9.NAR '!O14)</calculatedColumnFormula>
    </tableColumn>
    <tableColumn id="16" xr3:uid="{0A245B2A-8B72-4DF2-8DD8-DF7B6CF89DF9}" name="Aug-2026">
      <calculatedColumnFormula>IF('9.NAR '!P14="","",'9.NAR '!P14)</calculatedColumnFormula>
    </tableColumn>
    <tableColumn id="17" xr3:uid="{8DBC1F59-6932-4209-8498-C4EA772216FB}" name="Sep-2026">
      <calculatedColumnFormula>IF('9.NAR '!Q14="","",'9.NAR '!Q14)</calculatedColumnFormula>
    </tableColumn>
    <tableColumn id="18" xr3:uid="{C618D554-9D08-4ACF-A304-78666EF4D5F5}" name="Oct-2026">
      <calculatedColumnFormula>IF('9.NAR '!R14="","",'9.NAR '!R14)</calculatedColumnFormula>
    </tableColumn>
    <tableColumn id="19" xr3:uid="{8C9A98A0-5938-48FE-95FA-ED5A715BBEE4}" name="Nov-2026">
      <calculatedColumnFormula>IF('9.NAR '!S14="","",'9.NAR '!S14)</calculatedColumnFormula>
    </tableColumn>
    <tableColumn id="20" xr3:uid="{D8CEEDA9-CF93-4265-AD68-BC77693EAC75}" name="Dec-2026">
      <calculatedColumnFormula>IF('9.NAR '!T14="","",'9.NAR '!T14)</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CEA7EF1-DC50-4483-A1E5-7A02696DFD83}" name="Europe" displayName="Europe" ref="A126:T138" totalsRowShown="0">
  <autoFilter ref="A126:T138" xr:uid="{8CEA7EF1-DC50-4483-A1E5-7A02696DFD83}"/>
  <tableColumns count="20">
    <tableColumn id="1" xr3:uid="{088CA0D4-6829-42FC-A06A-A451CCD0D821}" name="KPI Name"/>
    <tableColumn id="2" xr3:uid="{D5B98658-D510-42A7-B6F6-30E6BD8E44A0}" name="KPI  Definition"/>
    <tableColumn id="3" xr3:uid="{67B63EEE-CB73-4403-8A49-0D678B38AF7D}" name="Operators"/>
    <tableColumn id="4" xr3:uid="{E6489CA1-947E-452D-BCC0-18BC45FEC92C}" name="Target AOP 2026"/>
    <tableColumn id="5" xr3:uid="{AB91C719-666A-44BA-B7B2-46848ECBDE8B}" name="Units"/>
    <tableColumn id="6" xr3:uid="{29014A88-119A-4F9F-9AF2-E04C98217C18}" name="Metric nature"/>
    <tableColumn id="7" xr3:uid="{78EFDD54-2925-48E1-89D5-49AD37FC2BCB}" name="Frequency"/>
    <tableColumn id="8" xr3:uid="{86203499-05D4-45D4-B561-579F2F553E55}" name="Target/ Actual">
      <calculatedColumnFormula>IF('10.EUROPE '!H14="","",'10.EUROPE '!H14)</calculatedColumnFormula>
    </tableColumn>
    <tableColumn id="9" xr3:uid="{DE76E873-5C5E-4E02-9405-31135786C5BB}" name="Jan-2026">
      <calculatedColumnFormula>IF('10.EUROPE '!I14="","",'10.EUROPE '!I14)</calculatedColumnFormula>
    </tableColumn>
    <tableColumn id="10" xr3:uid="{58D13E28-69D0-406F-8C03-F96B9ADE777A}" name="Feb-2026">
      <calculatedColumnFormula>IF('10.EUROPE '!J14="","",'10.EUROPE '!J14)</calculatedColumnFormula>
    </tableColumn>
    <tableColumn id="11" xr3:uid="{15AFA05F-3CBE-4F81-8E2B-09562C4C9BF1}" name="Mar-2026">
      <calculatedColumnFormula>IF('10.EUROPE '!K14="","",'10.EUROPE '!K14)</calculatedColumnFormula>
    </tableColumn>
    <tableColumn id="12" xr3:uid="{C9A20426-5FEB-499D-8F1C-EBEB704303D0}" name="Apr-2026">
      <calculatedColumnFormula>IF('10.EUROPE '!L14="","",'10.EUROPE '!L14)</calculatedColumnFormula>
    </tableColumn>
    <tableColumn id="13" xr3:uid="{FD0E83E4-8E92-44C7-8B5A-E13F1718EAF8}" name="May-2026">
      <calculatedColumnFormula>IF('10.EUROPE '!M14="","",'10.EUROPE '!M14)</calculatedColumnFormula>
    </tableColumn>
    <tableColumn id="14" xr3:uid="{41601D69-666E-4FE3-B06B-E87A1B0D341B}" name="Jun-2026">
      <calculatedColumnFormula>IF('10.EUROPE '!N14="","",'10.EUROPE '!N14)</calculatedColumnFormula>
    </tableColumn>
    <tableColumn id="15" xr3:uid="{7F4C4FC3-EA4A-4AEA-8303-E212FD46CE19}" name="Jul-2026">
      <calculatedColumnFormula>IF('10.EUROPE '!O14="","",'10.EUROPE '!O14)</calculatedColumnFormula>
    </tableColumn>
    <tableColumn id="16" xr3:uid="{9AB0F42A-8317-4817-8867-E37EB3FA5D67}" name="Aug-2026">
      <calculatedColumnFormula>IF('10.EUROPE '!P14="","",'10.EUROPE '!P14)</calculatedColumnFormula>
    </tableColumn>
    <tableColumn id="17" xr3:uid="{790ED50D-8364-45AD-A439-1E6D82761A12}" name="Sep-2026">
      <calculatedColumnFormula>IF('10.EUROPE '!Q14="","",'10.EUROPE '!Q14)</calculatedColumnFormula>
    </tableColumn>
    <tableColumn id="18" xr3:uid="{75E24308-1F30-456B-9C85-35FAD566E28D}" name="Oct-2026">
      <calculatedColumnFormula>IF('10.EUROPE '!R14="","",'10.EUROPE '!R14)</calculatedColumnFormula>
    </tableColumn>
    <tableColumn id="19" xr3:uid="{9D058FC4-1229-44B8-B282-48ACBC6C59D3}" name="Nov-2026">
      <calculatedColumnFormula>IF('10.EUROPE '!S14="","",'10.EUROPE '!S14)</calculatedColumnFormula>
    </tableColumn>
    <tableColumn id="20" xr3:uid="{0A6AC34A-E3D5-4DEC-857C-977C5FCDB3F8}" name="Dec-2026">
      <calculatedColumnFormula>IF('10.EUROPE '!T14="","",'10.EUROPE '!T14)</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076318D-2365-4E31-83F2-3E68654812E8}" name="Growth" displayName="Growth" ref="A141:T155" totalsRowShown="0">
  <autoFilter ref="A141:T155" xr:uid="{9076318D-2365-4E31-83F2-3E68654812E8}"/>
  <tableColumns count="20">
    <tableColumn id="1" xr3:uid="{24254DA5-4E35-44EE-BDEC-F1A365DF0575}" name="KPI Name"/>
    <tableColumn id="2" xr3:uid="{CE18160F-1780-4993-8145-6C37C2FA5E0F}" name="KPI  Definition"/>
    <tableColumn id="3" xr3:uid="{CFD5AAFC-2DAA-4A45-9143-5645F71025F8}" name="Operators"/>
    <tableColumn id="4" xr3:uid="{22A0AA6B-D89C-43A7-8F3E-D3AEBF6C918C}" name="Target AOP 2026"/>
    <tableColumn id="5" xr3:uid="{A4E653FD-A7F5-4574-A6E5-7EF55CC19A9B}" name="Units"/>
    <tableColumn id="6" xr3:uid="{98D01A8B-94D1-4E04-A17B-550F72CFD03B}" name="Metric nature"/>
    <tableColumn id="7" xr3:uid="{EEE2CF6A-08AD-4925-B793-35445AE6FF27}" name="Frequency"/>
    <tableColumn id="8" xr3:uid="{CF4A1107-B7B0-40B7-A834-FB15EF73BF00}" name="Target/ Actual">
      <calculatedColumnFormula>IF('11.GROWTH '!H14="","",'11.GROWTH '!H14)</calculatedColumnFormula>
    </tableColumn>
    <tableColumn id="9" xr3:uid="{FA47DB49-6EFF-4130-B625-753B164D6227}" name="Jan-2026">
      <calculatedColumnFormula>IF('11.GROWTH '!I14="","",'11.GROWTH '!I14)</calculatedColumnFormula>
    </tableColumn>
    <tableColumn id="10" xr3:uid="{55A04CD5-9695-4481-9E61-1AEED17E74F6}" name="Feb-2026">
      <calculatedColumnFormula>IF('11.GROWTH '!J14="","",'11.GROWTH '!J14)</calculatedColumnFormula>
    </tableColumn>
    <tableColumn id="11" xr3:uid="{2ABF7263-F773-4BE4-800C-6ADEFCB3B6F8}" name="Mar-2026">
      <calculatedColumnFormula>IF('11.GROWTH '!K14="","",'11.GROWTH '!K14)</calculatedColumnFormula>
    </tableColumn>
    <tableColumn id="12" xr3:uid="{9379794E-DC82-4C6E-B0C2-B0A9AE0C953F}" name="Apr-2026">
      <calculatedColumnFormula>IF('11.GROWTH '!L14="","",'11.GROWTH '!L14)</calculatedColumnFormula>
    </tableColumn>
    <tableColumn id="13" xr3:uid="{DEA3E6F6-1691-4F15-A0E1-5202F7A6BEE7}" name="May-2026">
      <calculatedColumnFormula>IF('11.GROWTH '!M14="","",'11.GROWTH '!M14)</calculatedColumnFormula>
    </tableColumn>
    <tableColumn id="14" xr3:uid="{89D495A3-3041-4589-AA4F-38D77F6DF19B}" name="Jun-2026">
      <calculatedColumnFormula>IF('11.GROWTH '!N14="","",'11.GROWTH '!N14)</calculatedColumnFormula>
    </tableColumn>
    <tableColumn id="15" xr3:uid="{4CEB6DD2-BE89-4F04-B14D-F53285C705C8}" name="Jul-2026">
      <calculatedColumnFormula>IF('11.GROWTH '!O14="","",'11.GROWTH '!O14)</calculatedColumnFormula>
    </tableColumn>
    <tableColumn id="16" xr3:uid="{8CA22B78-60EA-4EF0-8321-FC45BDEA39AA}" name="Aug-2026">
      <calculatedColumnFormula>IF('11.GROWTH '!P14="","",'11.GROWTH '!P14)</calculatedColumnFormula>
    </tableColumn>
    <tableColumn id="17" xr3:uid="{6C3F4304-6710-4864-BE7E-5591B3B9DCF4}" name="Sep-2026">
      <calculatedColumnFormula>IF('11.GROWTH '!Q14="","",'11.GROWTH '!Q14)</calculatedColumnFormula>
    </tableColumn>
    <tableColumn id="18" xr3:uid="{83CA93F4-12CA-4516-82C5-47D1D9BF5519}" name="Oct-2026">
      <calculatedColumnFormula>IF('11.GROWTH '!R14="","",'11.GROWTH '!R14)</calculatedColumnFormula>
    </tableColumn>
    <tableColumn id="19" xr3:uid="{B775E68E-631F-4A1A-B285-36D81C102568}" name="Nov-2026">
      <calculatedColumnFormula>IF('11.GROWTH '!S14="","",'11.GROWTH '!S14)</calculatedColumnFormula>
    </tableColumn>
    <tableColumn id="20" xr3:uid="{B4A4C1D8-450B-4180-A80F-FEA5E69FC161}" name="Dec-2026">
      <calculatedColumnFormula>IF('11.GROWTH '!T14="","",'11.GROWTH '!T14)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11" dT="2026-01-12T11:51:07.61" personId="{4177E5D1-089E-4D2F-9BC6-DF5550A2501B}" id="{6D18F918-B6B3-4526-A495-FB7D697D5C04}">
    <text>36 submission planned and as of today we have completed 21</text>
  </threadedComment>
  <threadedComment ref="I11" dT="2026-02-10T04:41:50.92" personId="{D29D8068-29AC-4D8C-9CF2-D88025579D79}" id="{C1AC5335-C93B-41F3-9E22-325AEB27A36C}" parentId="{6D18F918-B6B3-4526-A495-FB7D697D5C04}">
    <text>By end of Jan 31 were submitted against 31 planned submissions. 5 renewal submissions for Ukraine markets were postponed with consent of KM without any blocks</text>
  </threadedComment>
  <threadedComment ref="N15" dT="2026-06-08T11:46:56.65" personId="{D29D8068-29AC-4D8C-9CF2-D88025579D79}" id="{76916F4A-4D0E-45BD-B6EF-1252588FC152}">
    <text>144 orders are planned</text>
  </threadedComment>
  <threadedComment ref="K17" dT="2026-04-14T05:02:00.49" personId="{4177E5D1-089E-4D2F-9BC6-DF5550A2501B}" id="{8164785B-3A74-4AE8-9DE0-15728461F137}">
    <text>Nothing was due for March  Month</text>
  </threadedComment>
</ThreadedComments>
</file>

<file path=xl/threadedComments/threadedComment2.xml><?xml version="1.0" encoding="utf-8"?>
<ThreadedComments xmlns="http://schemas.microsoft.com/office/spreadsheetml/2018/threadedcomments" xmlns:x="http://schemas.openxmlformats.org/spreadsheetml/2006/main">
  <threadedComment ref="P11" dT="2026-09-09T10:06:26.38" personId="{8BE15961-C862-4320-BF4F-685490C6369A}" id="{9B6107D2-719F-4197-9FEF-217C53DAC2C0}">
    <text>Adjustment in cost for Dhruv done</text>
  </threadedComment>
</ThreadedComments>
</file>

<file path=xl/threadedComments/threadedComment3.xml><?xml version="1.0" encoding="utf-8"?>
<ThreadedComments xmlns="http://schemas.microsoft.com/office/spreadsheetml/2018/threadedcomments" xmlns:x="http://schemas.openxmlformats.org/spreadsheetml/2006/main">
  <threadedComment ref="N7" dT="2026-07-09T04:51:08.75" personId="{D3AF5ECC-5DB1-42D7-9005-DFFD46F56BE0}" id="{A0AD4213-7336-49BD-A4E0-9EE9E6D2EBE3}">
    <text>Zenition 10 - 23%
Zenition 30 - 27%
Zenition 90 M - 50%</text>
  </threadedComment>
  <threadedComment ref="N7" dT="2026-07-09T07:11:26.10" personId="{43AE0B5D-E0A7-4D3B-92D3-6B304543D577}" id="{67FC050C-209E-4BF6-8DBD-4C33AF2C060C}" parentId="{A0AD4213-7336-49BD-A4E0-9EE9E6D2EBE3}">
    <text xml:space="preserve">Z10 trend MAT: Mar 28%, Apr 18%, May 19%, ; Z30 trend : Mar 24%, Apr 24%, May 23%; Z90 trend MAT :Mar 51%, April: 55%, May 47%, </text>
  </threadedComment>
  <threadedComment ref="O7" dT="2026-08-10T05:23:51.57" personId="{D3AF5ECC-5DB1-42D7-9005-DFFD46F56BE0}" id="{D9CA913B-A4A4-4449-913D-DBB67E699532}">
    <text>Z10 - 23% 
Z30 - 23%
Z90M - 49%</text>
  </threadedComment>
  <threadedComment ref="O7" dT="2026-08-10T06:38:22.56" personId="{43AE0B5D-E0A7-4D3B-92D3-6B304543D577}" id="{E0460260-0645-4E9B-AF6B-989D59BAB59E}" parentId="{D9CA913B-A4A4-4449-913D-DBB67E699532}">
    <text>Thanks Nisha</text>
  </threadedComment>
  <threadedComment ref="O15" dT="2026-08-10T10:08:50.84" personId="{8FE96FFF-8515-4182-A0EC-B5C31E596FBC}" id="{19F3F05E-3293-442B-9A8E-D72097F7A1D9}">
    <text xml:space="preserve">Primary impact from the follwing projects - 
NDA presentation behind schedule - Marcom workstream not activated. Market validation WIP.
CS FD 30 x 30 brochure - claims not approved in Veeva promo mats - Marcom deliverables completed but unfortunately asset cannot be released unless claims are approved. 
Elevate - deliverables marcom work stream not activated. </text>
  </threadedComment>
</ThreadedComments>
</file>

<file path=xl/threadedComments/threadedComment4.xml><?xml version="1.0" encoding="utf-8"?>
<ThreadedComments xmlns="http://schemas.microsoft.com/office/spreadsheetml/2018/threadedcomments" xmlns:x="http://schemas.openxmlformats.org/spreadsheetml/2006/main">
  <threadedComment ref="N7" dT="2026-07-09T04:51:08.75" personId="{D3AF5ECC-5DB1-42D7-9005-DFFD46F56BE0}" id="{8C2E57A1-45D9-4329-83FF-5EE0DDEAF7B4}">
    <text>Zenition 10 - 23%
Zenition 30 - 27%
Zenition 90 M - 50%</text>
  </threadedComment>
  <threadedComment ref="N7" dT="2026-07-09T07:11:26.10" personId="{43AE0B5D-E0A7-4D3B-92D3-6B304543D577}" id="{F2F27B43-EF67-4EBB-8980-5D27982C377C}" parentId="{8C2E57A1-45D9-4329-83FF-5EE0DDEAF7B4}">
    <text xml:space="preserve">Z10 trend MAT: Mar 28%, Apr 18%, May 19%, ; Z30 trend : Mar 24%, Apr 24%, May 23%; Z90 trend MAT :Mar 51%, April: 55%, May 47%, </text>
  </threadedComment>
</ThreadedComments>
</file>

<file path=xl/threadedComments/threadedComment5.xml><?xml version="1.0" encoding="utf-8"?>
<ThreadedComments xmlns="http://schemas.microsoft.com/office/spreadsheetml/2018/threadedcomments" xmlns:x="http://schemas.openxmlformats.org/spreadsheetml/2006/main">
  <threadedComment ref="B14" dT="2026-01-27T09:15:59.81" personId="{CFF26F6B-FCA6-47E0-A308-3AEE56D73346}" id="{271BFFAF-607B-4BE0-B84A-6071FDF16A11}">
    <text>Planning to see if Number of Contract can be tracked instead of CP%</text>
  </threadedComment>
  <threadedComment ref="K15" dT="2026-04-27T04:22:26.34" personId="{CFF26F6B-FCA6-47E0-A308-3AEE56D73346}" id="{03DB790E-FF4A-4947-8A1C-45719B14683E}">
    <text xml:space="preserve">Reporting changes with ongoing discussions within all modalities. Central team leading change and final WOW to be decided in April
</text>
  </threadedComment>
  <threadedComment ref="M17" dT="2026-06-08T09:20:58.45" personId="{CFF26F6B-FCA6-47E0-A308-3AEE56D73346}" id="{000DDA50-6A07-4E1E-A3B9-3E897FE68F28}">
    <text>Data not Final</text>
  </threadedComment>
  <threadedComment ref="B154" dT="2026-01-27T09:15:59.81" personId="{CFF26F6B-FCA6-47E0-A308-3AEE56D73346}" id="{3429B22C-2EF8-43DE-A7CD-F5B8D14F77F0}">
    <text>Planning to see if Number of Contract can be tracked instead of CP%</text>
  </threadedComment>
  <threadedComment ref="K155" dT="2026-04-27T04:22:26.34" personId="{CFF26F6B-FCA6-47E0-A308-3AEE56D73346}" id="{2D489B81-641B-4678-A3A4-C3556D8903B9}">
    <text xml:space="preserve">Reporting changes with ongoing discussions within all modalities. Central team leading change and final WOW to be decided in April
</text>
  </threadedComment>
</ThreadedComments>
</file>

<file path=xl/threadedComments/threadedComment6.xml><?xml version="1.0" encoding="utf-8"?>
<ThreadedComments xmlns="http://schemas.microsoft.com/office/spreadsheetml/2018/threadedcomments" xmlns:x="http://schemas.openxmlformats.org/spreadsheetml/2006/main">
  <threadedComment ref="P9" dT="2026-09-07T12:55:02.26" personId="{885D249A-4501-4E7A-AFDE-D3227B9624C4}" id="{04049BF7-4927-43E8-A0A2-27D72D9FECBD}">
    <text>CY at 20M, +33% YoY, -3.8M vs AOP</text>
  </threadedComment>
  <threadedComment ref="P15" dT="2026-09-07T13:10:55.79" personId="{885D249A-4501-4E7A-AFDE-D3227B9624C4}" id="{1FDC6073-0D31-431F-A83F-99B079D28DE2}">
    <text>+1M vs LM</text>
  </threadedComment>
  <threadedComment ref="N19" dT="2026-06-08T19:54:54.67" personId="{885D249A-4501-4E7A-AFDE-D3227B9624C4}" id="{B408E43A-84A9-4294-B494-EBC30A5FC640}">
    <text xml:space="preserve">7.1M as June OL. 2.7M delta vs AOP. Root causes: 1.7M under EU Other which will get compensated in Q4 (-1.7M AOP under EU Other), +0.9M overachievement in Q1. Without the 1.7M under EU Other, EU would be on par with AOP in H1.
</text>
  </threadedComment>
  <threadedComment ref="M21" dT="2026-06-08T20:03:34.35" personId="{885D249A-4501-4E7A-AFDE-D3227B9624C4}" id="{AE34AD0B-1310-4342-AA27-50F4FD8456A2}">
    <text>Root causes: UKI (1.9M Lost), NOR (1.5M NP), BNL (1.2M Lost), DACH (0.9M Lost). 
UKI: mass upload opps closed as Lost due to Brand Preference. 
BNL: 8 units deal lost in Belgium due to too expensive Services offering.
DACH: IB burn down plan: systems were replaced in the past already</text>
  </threadedComment>
  <threadedComment ref="P23" dT="2026-09-07T12:56:02.15" personId="{885D249A-4501-4E7A-AFDE-D3227B9624C4}" id="{1AC2975A-9438-42DA-ABC9-3148411FC10C}">
    <text>Data not available yet. Will get available at WD7</text>
  </threadedComment>
  <threadedComment ref="J25" dT="2026-03-10T09:59:41.17" personId="{885D249A-4501-4E7A-AFDE-D3227B9624C4}" id="{D965E19C-3039-42AB-83D2-3D192B2FDD41}">
    <text>Feb ITM CS IGM% at 0.9M on par with AOP in absolute value and at 49.6% above AOP. 
Gap caused by Eq due to lower Sales in Jan and Feb with 300k gap (10%)</text>
  </threadedComment>
  <threadedComment ref="K25" dT="2026-04-14T11:46:05.06" personId="{885D249A-4501-4E7A-AFDE-D3227B9624C4}" id="{4B2CC3E4-B4F1-490D-AF1E-090259F7EE54}">
    <text>800k delta: 500k in EQ and 300k in CS. EQ: highest contributor is iCoS, followed by 3rd parties items. 
SV: highest contributor is lower volume (200k)</text>
  </threadedComment>
  <threadedComment ref="P25" dT="2026-09-07T12:58:27.39" personId="{885D249A-4501-4E7A-AFDE-D3227B9624C4}" id="{2437477F-7CC5-4CF8-9F37-8A3E3A555AA4}">
    <text>Shortfall vs AOP driven by both EQ and SV with SV at 47% vs AOP of 53.3% and EQ at 20.3% vs AOP of 23.6%</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customProperty" Target="../customProperty2.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4.bin"/><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5.bin"/><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7.bin"/><Relationship Id="rId1" Type="http://schemas.openxmlformats.org/officeDocument/2006/relationships/printerSettings" Target="../printerSettings/printerSettings6.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customProperty" Target="../customProperty8.bin"/><Relationship Id="rId1" Type="http://schemas.openxmlformats.org/officeDocument/2006/relationships/printerSettings" Target="../printerSettings/printerSettings8.bin"/><Relationship Id="rId6" Type="http://schemas.microsoft.com/office/2017/10/relationships/threadedComment" Target="../threadedComments/threadedComment4.xm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customProperty" Target="../customProperty9.bin"/><Relationship Id="rId1" Type="http://schemas.openxmlformats.org/officeDocument/2006/relationships/printerSettings" Target="../printerSettings/printerSettings9.bin"/><Relationship Id="rId6" Type="http://schemas.microsoft.com/office/2017/10/relationships/threadedComment" Target="../threadedComments/threadedComment5.xm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customProperty" Target="../customProperty10.bin"/><Relationship Id="rId1" Type="http://schemas.openxmlformats.org/officeDocument/2006/relationships/printerSettings" Target="../printerSettings/printerSettings10.bin"/><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customProperty" Target="../customProperty11.bin"/><Relationship Id="rId1" Type="http://schemas.openxmlformats.org/officeDocument/2006/relationships/printerSettings" Target="../printerSettings/printerSettings11.bin"/><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customProperty" Target="../customProperty12.bin"/><Relationship Id="rId1" Type="http://schemas.openxmlformats.org/officeDocument/2006/relationships/printerSettings" Target="../printerSettings/printerSettings12.bin"/><Relationship Id="rId6" Type="http://schemas.microsoft.com/office/2017/10/relationships/threadedComment" Target="../threadedComments/threadedComment6.xm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customProperty" Target="../customProperty13.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customProperty" Target="../customProperty14.bin"/><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customProperty" Target="../customProperty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4CEEC-1354-429B-8B3F-EFCED9B1BB5B}">
  <sheetPr codeName="Sheet1"/>
  <dimension ref="A1:AA86"/>
  <sheetViews>
    <sheetView topLeftCell="A2" zoomScale="80" zoomScaleNormal="80" workbookViewId="0">
      <pane xSplit="2" ySplit="5" topLeftCell="C7" activePane="bottomRight" state="frozen"/>
      <selection pane="bottomRight" activeCell="C67" sqref="C67:C68"/>
      <selection pane="bottomLeft" activeCell="D9" sqref="D9"/>
      <selection pane="topRight" activeCell="F2" sqref="F2"/>
    </sheetView>
  </sheetViews>
  <sheetFormatPr defaultRowHeight="15" customHeight="1"/>
  <cols>
    <col min="1" max="1" width="8.5703125" style="28" customWidth="1"/>
    <col min="2" max="2" width="5.5703125" style="28" customWidth="1"/>
    <col min="3" max="3" width="38.42578125" bestFit="1" customWidth="1"/>
    <col min="4" max="4" width="14.42578125" customWidth="1"/>
    <col min="5" max="5" width="29.5703125" customWidth="1"/>
    <col min="6" max="6" width="10.5703125" style="28" customWidth="1"/>
    <col min="7" max="7" width="18.5703125" style="28" customWidth="1"/>
    <col min="8" max="8" width="5.42578125" style="28" bestFit="1" customWidth="1"/>
    <col min="9" max="9" width="15.42578125" style="28" customWidth="1"/>
    <col min="10" max="10" width="11.42578125" style="28" customWidth="1"/>
    <col min="11" max="11" width="7.42578125" style="28" customWidth="1"/>
    <col min="12" max="13" width="9.5703125" style="28" customWidth="1"/>
    <col min="14" max="15" width="10.42578125" style="28" customWidth="1"/>
    <col min="16" max="16" width="8.5703125" style="28" customWidth="1"/>
    <col min="17" max="17" width="8.42578125" style="28" customWidth="1"/>
    <col min="18" max="20" width="8.5703125" style="28" customWidth="1"/>
    <col min="21" max="21" width="8" style="28" bestFit="1" customWidth="1"/>
    <col min="22" max="22" width="9.5703125" style="28" customWidth="1"/>
    <col min="23" max="23" width="9" style="28" customWidth="1"/>
    <col min="24" max="24" width="61.5703125" customWidth="1"/>
    <col min="25" max="25" width="46.5703125" customWidth="1"/>
    <col min="26" max="26" width="30" customWidth="1"/>
    <col min="27" max="27" width="17.42578125" customWidth="1"/>
  </cols>
  <sheetData>
    <row r="1" spans="1:27" ht="14.45" hidden="1"/>
    <row r="2" spans="1:27" s="53" customFormat="1" thickBot="1">
      <c r="A2" s="52"/>
      <c r="B2" s="52"/>
      <c r="C2" s="12" t="s">
        <v>0</v>
      </c>
      <c r="D2" s="30">
        <v>46023</v>
      </c>
      <c r="F2" s="52"/>
      <c r="G2" s="52"/>
      <c r="H2" s="52"/>
      <c r="I2" s="52"/>
      <c r="J2" s="52"/>
      <c r="K2" s="52"/>
      <c r="L2" s="52"/>
      <c r="M2" s="52"/>
      <c r="N2" s="52"/>
      <c r="O2" s="52"/>
      <c r="P2" s="52"/>
      <c r="Q2" s="52"/>
      <c r="R2" s="52"/>
      <c r="S2" s="52"/>
      <c r="T2" s="52"/>
      <c r="U2" s="52"/>
    </row>
    <row r="3" spans="1:27" s="53" customFormat="1" hidden="1" thickBot="1">
      <c r="A3" s="52"/>
      <c r="B3" s="52"/>
      <c r="F3" s="52"/>
      <c r="G3" s="52"/>
      <c r="H3" s="52"/>
      <c r="I3" s="52"/>
      <c r="J3" s="52"/>
      <c r="K3" s="52"/>
      <c r="L3" s="52"/>
      <c r="M3" s="52"/>
      <c r="N3" s="52"/>
      <c r="O3" s="52"/>
      <c r="P3" s="52"/>
      <c r="Q3" s="52"/>
      <c r="R3" s="52"/>
      <c r="S3" s="52"/>
      <c r="T3" s="52"/>
      <c r="U3" s="52"/>
    </row>
    <row r="4" spans="1:27" s="53" customFormat="1" ht="21" customHeight="1" thickBot="1">
      <c r="A4" s="52"/>
      <c r="B4" s="52"/>
      <c r="C4" s="414" t="str">
        <f ca="1">"Current Month-Year " &amp; ":" &amp; TEXT(TODAY(),"YYYY-MM")</f>
        <v>Current Month-Year :2026-09</v>
      </c>
      <c r="D4" s="414"/>
      <c r="E4" s="414"/>
      <c r="F4" s="414"/>
      <c r="G4" s="414"/>
      <c r="H4" s="414"/>
      <c r="I4" s="414"/>
      <c r="J4" s="414"/>
      <c r="K4" s="414"/>
      <c r="L4" s="414"/>
      <c r="M4" s="414"/>
      <c r="N4" s="414"/>
      <c r="O4" s="414"/>
      <c r="P4" s="414"/>
      <c r="Q4" s="414"/>
      <c r="R4" s="414"/>
      <c r="S4" s="414"/>
      <c r="T4" s="414"/>
      <c r="U4" s="414"/>
      <c r="V4" s="414"/>
      <c r="W4" s="414"/>
      <c r="X4" s="414"/>
      <c r="Y4" s="414"/>
      <c r="Z4" s="414"/>
      <c r="AA4" s="414"/>
    </row>
    <row r="5" spans="1:27" s="53" customFormat="1" thickBot="1">
      <c r="A5" s="415" t="s">
        <v>1</v>
      </c>
      <c r="B5" s="415"/>
      <c r="C5" s="417" t="s">
        <v>2</v>
      </c>
      <c r="D5" s="418" t="s">
        <v>3</v>
      </c>
      <c r="E5" s="417" t="s">
        <v>4</v>
      </c>
      <c r="F5" s="413" t="s">
        <v>5</v>
      </c>
      <c r="G5" s="413" t="s">
        <v>6</v>
      </c>
      <c r="H5" s="413" t="s">
        <v>7</v>
      </c>
      <c r="I5" s="413" t="s">
        <v>8</v>
      </c>
      <c r="J5" s="413" t="s">
        <v>9</v>
      </c>
      <c r="K5" s="409" t="s">
        <v>10</v>
      </c>
      <c r="L5" s="409" t="s">
        <v>11</v>
      </c>
      <c r="M5" s="409" t="s">
        <v>12</v>
      </c>
      <c r="N5" s="409" t="s">
        <v>13</v>
      </c>
      <c r="O5" s="409" t="s">
        <v>14</v>
      </c>
      <c r="P5" s="424" t="s">
        <v>15</v>
      </c>
      <c r="Q5" s="409" t="s">
        <v>16</v>
      </c>
      <c r="R5" s="411" t="s">
        <v>17</v>
      </c>
      <c r="S5" s="422" t="s">
        <v>18</v>
      </c>
      <c r="T5" s="409" t="s">
        <v>19</v>
      </c>
      <c r="U5" s="409" t="s">
        <v>20</v>
      </c>
      <c r="V5" s="409" t="s">
        <v>21</v>
      </c>
      <c r="W5" s="418" t="s">
        <v>22</v>
      </c>
      <c r="X5" s="409" t="s">
        <v>23</v>
      </c>
      <c r="Y5" s="409" t="s">
        <v>24</v>
      </c>
      <c r="Z5" s="418" t="s">
        <v>25</v>
      </c>
      <c r="AA5" s="420" t="s">
        <v>26</v>
      </c>
    </row>
    <row r="6" spans="1:27" s="53" customFormat="1" ht="24.6" customHeight="1">
      <c r="A6" s="416"/>
      <c r="B6" s="416"/>
      <c r="C6" s="417"/>
      <c r="D6" s="426"/>
      <c r="E6" s="417"/>
      <c r="F6" s="413"/>
      <c r="G6" s="413"/>
      <c r="H6" s="413"/>
      <c r="I6" s="413"/>
      <c r="J6" s="413"/>
      <c r="K6" s="410"/>
      <c r="L6" s="410"/>
      <c r="M6" s="410"/>
      <c r="N6" s="410"/>
      <c r="O6" s="410"/>
      <c r="P6" s="425"/>
      <c r="Q6" s="410"/>
      <c r="R6" s="412"/>
      <c r="S6" s="423"/>
      <c r="T6" s="410"/>
      <c r="U6" s="410"/>
      <c r="V6" s="410"/>
      <c r="W6" s="419"/>
      <c r="X6" s="410"/>
      <c r="Y6" s="410"/>
      <c r="Z6" s="419"/>
      <c r="AA6" s="421"/>
    </row>
    <row r="7" spans="1:27" s="53" customFormat="1" thickBot="1">
      <c r="A7" s="399" t="s">
        <v>27</v>
      </c>
      <c r="B7" s="399"/>
      <c r="C7" s="406" t="str">
        <f>IF('1.Quality'!A6&lt;&gt;"",'1.Quality'!A6,"")</f>
        <v>%  CAPA Investigations Currently ≤ 90 days</v>
      </c>
      <c r="D7" s="387" t="s">
        <v>28</v>
      </c>
      <c r="E7" s="406" t="str">
        <f>IF('1.Quality'!B6&lt;&gt;"",'1.Quality'!B6,"")</f>
        <v>Timeliness of investigations</v>
      </c>
      <c r="F7" s="406" t="str">
        <f>IF('1.Quality'!C6&lt;&gt;"",'1.Quality'!C6,"")</f>
        <v>&gt;=</v>
      </c>
      <c r="G7" s="406">
        <f>IF('1.Quality'!D6&lt;&gt;"",'1.Quality'!D6,"")</f>
        <v>90</v>
      </c>
      <c r="H7" s="406" t="str">
        <f>IF('1.Quality'!E6&lt;&gt;"",'1.Quality'!E6,"")</f>
        <v>%</v>
      </c>
      <c r="I7" s="406" t="str">
        <f>IF('1.Quality'!F6&lt;&gt;"",'1.Quality'!F6,"")</f>
        <v>Higher the better</v>
      </c>
      <c r="J7" s="406" t="str">
        <f>IF('1.Quality'!G6&lt;&gt;"",'1.Quality'!G6,"")</f>
        <v>Monthly</v>
      </c>
      <c r="K7" s="76" t="s">
        <v>29</v>
      </c>
      <c r="L7" s="119">
        <f>IF('1.Quality'!I24&lt;&gt;"",'1.Quality'!I24,"")</f>
        <v>0</v>
      </c>
      <c r="M7" s="119">
        <f>IF('1.Quality'!J24&lt;&gt;"",'1.Quality'!J24,"")</f>
        <v>0</v>
      </c>
      <c r="N7" s="119">
        <f>IF('1.Quality'!K24&lt;&gt;"",'1.Quality'!K24,"")</f>
        <v>0</v>
      </c>
      <c r="O7" s="119">
        <f>IF('1.Quality'!L24&lt;&gt;"",'1.Quality'!L24,"")</f>
        <v>0</v>
      </c>
      <c r="P7" s="119">
        <f>IF('1.Quality'!M24&lt;&gt;"",'1.Quality'!M24,"")</f>
        <v>0</v>
      </c>
      <c r="Q7" s="119">
        <f>IF('1.Quality'!N24&lt;&gt;"",'1.Quality'!N24,"")</f>
        <v>0</v>
      </c>
      <c r="R7" s="119">
        <f>IF('1.Quality'!O24&lt;&gt;"",'1.Quality'!O24,"")</f>
        <v>0</v>
      </c>
      <c r="S7" s="119">
        <f>IF('1.Quality'!P24&lt;&gt;"",'1.Quality'!P24,"")</f>
        <v>0</v>
      </c>
      <c r="T7" s="119">
        <f>IF('1.Quality'!Q24&lt;&gt;"",'1.Quality'!Q24,"")</f>
        <v>0</v>
      </c>
      <c r="U7" s="119">
        <f>IF('1.Quality'!R24&lt;&gt;"",'1.Quality'!R24,"")</f>
        <v>0</v>
      </c>
      <c r="V7" s="119">
        <f>IF('1.Quality'!S24&lt;&gt;"",'1.Quality'!S24,"")</f>
        <v>0</v>
      </c>
      <c r="W7" s="120">
        <f>IF('1.Quality'!T24&lt;&gt;"",'1.Quality'!T24,"")</f>
        <v>0</v>
      </c>
      <c r="X7" s="404"/>
      <c r="Y7" s="404"/>
      <c r="Z7" s="404"/>
      <c r="AA7" s="404"/>
    </row>
    <row r="8" spans="1:27" s="53" customFormat="1" thickBot="1">
      <c r="A8" s="392"/>
      <c r="B8" s="392"/>
      <c r="C8" s="407"/>
      <c r="D8" s="388"/>
      <c r="E8" s="407"/>
      <c r="F8" s="407"/>
      <c r="G8" s="407"/>
      <c r="H8" s="407"/>
      <c r="I8" s="407"/>
      <c r="J8" s="407"/>
      <c r="K8" s="54" t="s">
        <v>30</v>
      </c>
      <c r="L8" s="63">
        <f>IF('1.Quality'!I25&lt;&gt;"",'1.Quality'!I25,"")</f>
        <v>0</v>
      </c>
      <c r="M8" s="63">
        <f>IF('1.Quality'!J25&lt;&gt;"",'1.Quality'!J25,"")</f>
        <v>0</v>
      </c>
      <c r="N8" s="63">
        <f>IF('1.Quality'!K25&lt;&gt;"",'1.Quality'!K25,"")</f>
        <v>0</v>
      </c>
      <c r="O8" s="63">
        <f>IF('1.Quality'!L25&lt;&gt;"",'1.Quality'!L25,"")</f>
        <v>0</v>
      </c>
      <c r="P8" s="63">
        <f>IF('1.Quality'!M25&lt;&gt;"",'1.Quality'!M25,"")</f>
        <v>0</v>
      </c>
      <c r="Q8" s="63">
        <f>IF('1.Quality'!N25&lt;&gt;"",'1.Quality'!N25,"")</f>
        <v>0</v>
      </c>
      <c r="R8" s="63">
        <f>IF('1.Quality'!O25&lt;&gt;"",'1.Quality'!O25,"")</f>
        <v>0</v>
      </c>
      <c r="S8" s="63">
        <f>IF('1.Quality'!P25&lt;&gt;"",'1.Quality'!P25,"")</f>
        <v>0</v>
      </c>
      <c r="T8" s="63" t="str">
        <f>IF('1.Quality'!Q25&lt;&gt;"",'1.Quality'!Q25,"")</f>
        <v/>
      </c>
      <c r="U8" s="63" t="str">
        <f>IF('1.Quality'!R25&lt;&gt;"",'1.Quality'!R25,"")</f>
        <v/>
      </c>
      <c r="V8" s="63" t="str">
        <f>IF('1.Quality'!S25&lt;&gt;"",'1.Quality'!S25,"")</f>
        <v/>
      </c>
      <c r="W8" s="82" t="str">
        <f>IF('1.Quality'!T25&lt;&gt;"",'1.Quality'!T25,"")</f>
        <v/>
      </c>
      <c r="X8" s="405"/>
      <c r="Y8" s="405"/>
      <c r="Z8" s="405"/>
      <c r="AA8" s="405"/>
    </row>
    <row r="9" spans="1:27" s="53" customFormat="1" thickBot="1">
      <c r="A9" s="392"/>
      <c r="B9" s="392"/>
      <c r="C9" s="407" t="str">
        <f>IF('1.Quality'!A8&lt;&gt;"",'1.Quality'!A8,"")</f>
        <v>% Complaints Open &gt; 90 days</v>
      </c>
      <c r="D9" s="388" t="s">
        <v>28</v>
      </c>
      <c r="E9" s="407" t="str">
        <f>IF('1.Quality'!B8&lt;&gt;"",'1.Quality'!B8,"")</f>
        <v xml:space="preserve">Measures complaint closures </v>
      </c>
      <c r="F9" s="407" t="str">
        <f>IF('1.Quality'!C8&lt;&gt;"",'1.Quality'!C8,"")</f>
        <v>&lt;=</v>
      </c>
      <c r="G9" s="407" t="str">
        <f>IF('1.Quality'!D8&lt;&gt;"",'1.Quality'!D8,"")</f>
        <v>Q1 (8%), Q2 (7%) Q3 (6%) Q4 (5%)</v>
      </c>
      <c r="H9" s="407" t="str">
        <f>IF('1.Quality'!E8&lt;&gt;"",'1.Quality'!E8,"")</f>
        <v>%</v>
      </c>
      <c r="I9" s="407" t="str">
        <f>IF('1.Quality'!F8&lt;&gt;"",'1.Quality'!F8,"")</f>
        <v>Lower the better</v>
      </c>
      <c r="J9" s="407" t="str">
        <f>IF('1.Quality'!G8&lt;&gt;"",'1.Quality'!G8,"")</f>
        <v>Monthly</v>
      </c>
      <c r="K9" s="54" t="s">
        <v>29</v>
      </c>
      <c r="L9" s="55">
        <f>IF('1.Quality'!I6&lt;&gt;"",'1.Quality'!I6,"")</f>
        <v>0.9</v>
      </c>
      <c r="M9" s="55">
        <f>IF('1.Quality'!J6&lt;&gt;"",'1.Quality'!J6,"")</f>
        <v>0.9</v>
      </c>
      <c r="N9" s="55">
        <f>IF('1.Quality'!K6&lt;&gt;"",'1.Quality'!K6,"")</f>
        <v>0.9</v>
      </c>
      <c r="O9" s="55">
        <f>IF('1.Quality'!L6&lt;&gt;"",'1.Quality'!L6,"")</f>
        <v>0.9</v>
      </c>
      <c r="P9" s="55">
        <f>IF('1.Quality'!M6&lt;&gt;"",'1.Quality'!M6,"")</f>
        <v>0.9</v>
      </c>
      <c r="Q9" s="55">
        <f>IF('1.Quality'!N6&lt;&gt;"",'1.Quality'!N6,"")</f>
        <v>0.9</v>
      </c>
      <c r="R9" s="55">
        <f>IF('1.Quality'!O6&lt;&gt;"",'1.Quality'!O6,"")</f>
        <v>0.9</v>
      </c>
      <c r="S9" s="55">
        <f>IF('1.Quality'!P6&lt;&gt;"",'1.Quality'!P6,"")</f>
        <v>0.9</v>
      </c>
      <c r="T9" s="55">
        <f>IF('1.Quality'!Q6&lt;&gt;"",'1.Quality'!Q6,"")</f>
        <v>0.9</v>
      </c>
      <c r="U9" s="55">
        <f>IF('1.Quality'!R6&lt;&gt;"",'1.Quality'!R6,"")</f>
        <v>0.9</v>
      </c>
      <c r="V9" s="55">
        <f>IF('1.Quality'!S6&lt;&gt;"",'1.Quality'!S6,"")</f>
        <v>0.9</v>
      </c>
      <c r="W9" s="83">
        <f>IF('1.Quality'!T6&lt;&gt;"",'1.Quality'!T6,"")</f>
        <v>0.9</v>
      </c>
      <c r="X9" s="405"/>
      <c r="Y9" s="405"/>
      <c r="Z9" s="405"/>
      <c r="AA9" s="405"/>
    </row>
    <row r="10" spans="1:27" s="53" customFormat="1" thickBot="1">
      <c r="A10" s="392"/>
      <c r="B10" s="392"/>
      <c r="C10" s="407"/>
      <c r="D10" s="388"/>
      <c r="E10" s="407"/>
      <c r="F10" s="407"/>
      <c r="G10" s="407"/>
      <c r="H10" s="407"/>
      <c r="I10" s="407"/>
      <c r="J10" s="407"/>
      <c r="K10" s="54" t="s">
        <v>30</v>
      </c>
      <c r="L10" s="56">
        <f>IF('1.Quality'!I7&lt;&gt;"",'1.Quality'!I7,"")</f>
        <v>1</v>
      </c>
      <c r="M10" s="56">
        <f>IF('1.Quality'!J7&lt;&gt;"",'1.Quality'!J7,"")</f>
        <v>0.75</v>
      </c>
      <c r="N10" s="56">
        <f>IF('1.Quality'!K7&lt;&gt;"",'1.Quality'!K7,"")</f>
        <v>0.4</v>
      </c>
      <c r="O10" s="56">
        <f>IF('1.Quality'!L7&lt;&gt;"",'1.Quality'!L7,"")</f>
        <v>0</v>
      </c>
      <c r="P10" s="56">
        <f>IF('1.Quality'!M7&lt;&gt;"",'1.Quality'!M7,"")</f>
        <v>0</v>
      </c>
      <c r="Q10" s="56">
        <f>IF('1.Quality'!N7&lt;&gt;"",'1.Quality'!N7,"")</f>
        <v>0</v>
      </c>
      <c r="R10" s="56">
        <f>IF('1.Quality'!O7&lt;&gt;"",'1.Quality'!O7,"")</f>
        <v>1</v>
      </c>
      <c r="S10" s="56">
        <f>IF('1.Quality'!P7&lt;&gt;"",'1.Quality'!P7,"")</f>
        <v>1</v>
      </c>
      <c r="T10" s="56" t="str">
        <f>IF('1.Quality'!Q7&lt;&gt;"",'1.Quality'!Q7,"")</f>
        <v/>
      </c>
      <c r="U10" s="56" t="str">
        <f>IF('1.Quality'!R7&lt;&gt;"",'1.Quality'!R7,"")</f>
        <v/>
      </c>
      <c r="V10" s="56" t="str">
        <f>IF('1.Quality'!S7&lt;&gt;"",'1.Quality'!S7,"")</f>
        <v/>
      </c>
      <c r="W10" s="84" t="str">
        <f>IF('1.Quality'!T7&lt;&gt;"",'1.Quality'!T7,"")</f>
        <v/>
      </c>
      <c r="X10" s="405"/>
      <c r="Y10" s="405"/>
      <c r="Z10" s="405"/>
      <c r="AA10" s="405"/>
    </row>
    <row r="11" spans="1:27" s="53" customFormat="1" thickBot="1">
      <c r="A11" s="392"/>
      <c r="B11" s="392"/>
      <c r="C11" s="407" t="str">
        <f>IF('1.Quality'!A16&lt;&gt;"",'1.Quality'!A16,"")</f>
        <v>C&amp;R &gt; Global Due date</v>
      </c>
      <c r="D11" s="388" t="s">
        <v>28</v>
      </c>
      <c r="E11" s="407" t="str">
        <f>IF('1.Quality'!B16&lt;&gt;"",'1.Quality'!B16,"")</f>
        <v># of C&amp;Rs that are open beyond plan in market</v>
      </c>
      <c r="F11" s="407" t="str">
        <f>IF('1.Quality'!C16&lt;&gt;"",'1.Quality'!C16,"")</f>
        <v>&lt;=</v>
      </c>
      <c r="G11" s="407">
        <f>IF('1.Quality'!D16&lt;&gt;"",'1.Quality'!D16,"")</f>
        <v>3</v>
      </c>
      <c r="H11" s="407" t="str">
        <f>IF('1.Quality'!E16&lt;&gt;"",'1.Quality'!E16,"")</f>
        <v>No.</v>
      </c>
      <c r="I11" s="407" t="str">
        <f>IF('1.Quality'!F16&lt;&gt;"",'1.Quality'!F16,"")</f>
        <v>Lower the better</v>
      </c>
      <c r="J11" s="407" t="str">
        <f>IF('1.Quality'!G16&lt;&gt;"",'1.Quality'!G16,"")</f>
        <v>Monthly</v>
      </c>
      <c r="K11" s="54" t="s">
        <v>29</v>
      </c>
      <c r="L11" s="55">
        <f>IF('1.Quality'!I8&lt;&gt;"",'1.Quality'!I8,"")</f>
        <v>0.08</v>
      </c>
      <c r="M11" s="55">
        <f>IF('1.Quality'!J8&lt;&gt;"",'1.Quality'!J8,"")</f>
        <v>0.08</v>
      </c>
      <c r="N11" s="55">
        <f>IF('1.Quality'!K8&lt;&gt;"",'1.Quality'!K8,"")</f>
        <v>0.08</v>
      </c>
      <c r="O11" s="55">
        <f>IF('1.Quality'!L8&lt;&gt;"",'1.Quality'!L8,"")</f>
        <v>7.0000000000000007E-2</v>
      </c>
      <c r="P11" s="55">
        <f>IF('1.Quality'!M8&lt;&gt;"",'1.Quality'!M8,"")</f>
        <v>7.0000000000000007E-2</v>
      </c>
      <c r="Q11" s="55">
        <f>IF('1.Quality'!N8&lt;&gt;"",'1.Quality'!N8,"")</f>
        <v>7.0000000000000007E-2</v>
      </c>
      <c r="R11" s="55">
        <f>IF('1.Quality'!O8&lt;&gt;"",'1.Quality'!O8,"")</f>
        <v>0.06</v>
      </c>
      <c r="S11" s="55">
        <f>IF('1.Quality'!P8&lt;&gt;"",'1.Quality'!P8,"")</f>
        <v>0.06</v>
      </c>
      <c r="T11" s="55">
        <f>IF('1.Quality'!Q8&lt;&gt;"",'1.Quality'!Q8,"")</f>
        <v>0.06</v>
      </c>
      <c r="U11" s="55">
        <f>IF('1.Quality'!R8&lt;&gt;"",'1.Quality'!R8,"")</f>
        <v>0.05</v>
      </c>
      <c r="V11" s="55">
        <f>IF('1.Quality'!S8&lt;&gt;"",'1.Quality'!S8,"")</f>
        <v>0.05</v>
      </c>
      <c r="W11" s="83">
        <f>IF('1.Quality'!T8&lt;&gt;"",'1.Quality'!T8,"")</f>
        <v>0.05</v>
      </c>
      <c r="X11" s="405"/>
      <c r="Y11" s="405"/>
      <c r="Z11" s="405"/>
      <c r="AA11" s="405"/>
    </row>
    <row r="12" spans="1:27" s="53" customFormat="1" thickBot="1">
      <c r="A12" s="392"/>
      <c r="B12" s="392"/>
      <c r="C12" s="407"/>
      <c r="D12" s="388"/>
      <c r="E12" s="407"/>
      <c r="F12" s="407"/>
      <c r="G12" s="407"/>
      <c r="H12" s="407"/>
      <c r="I12" s="407"/>
      <c r="J12" s="407"/>
      <c r="K12" s="54" t="s">
        <v>30</v>
      </c>
      <c r="L12" s="56">
        <f>IF('1.Quality'!I9&lt;&gt;"",'1.Quality'!I9,"")</f>
        <v>3.7999999999999999E-2</v>
      </c>
      <c r="M12" s="56">
        <f>IF('1.Quality'!J9&lt;&gt;"",'1.Quality'!J9,"")</f>
        <v>3.7999999999999999E-2</v>
      </c>
      <c r="N12" s="56">
        <f>IF('1.Quality'!K9&lt;&gt;"",'1.Quality'!K9,"")</f>
        <v>2.8000000000000001E-2</v>
      </c>
      <c r="O12" s="56">
        <f>IF('1.Quality'!L9&lt;&gt;"",'1.Quality'!L9,"")</f>
        <v>2.5999999999999999E-2</v>
      </c>
      <c r="P12" s="56">
        <f>IF('1.Quality'!M9&lt;&gt;"",'1.Quality'!M9,"")</f>
        <v>2.5999999999999999E-2</v>
      </c>
      <c r="Q12" s="56">
        <f>IF('1.Quality'!N9&lt;&gt;"",'1.Quality'!N9,"")</f>
        <v>0.03</v>
      </c>
      <c r="R12" s="56">
        <f>IF('1.Quality'!O9&lt;&gt;"",'1.Quality'!O9,"")</f>
        <v>0.03</v>
      </c>
      <c r="S12" s="56">
        <f>IF('1.Quality'!P9&lt;&gt;"",'1.Quality'!P9,"")</f>
        <v>3.5000000000000003E-2</v>
      </c>
      <c r="T12" s="56" t="str">
        <f>IF('1.Quality'!Q9&lt;&gt;"",'1.Quality'!Q9,"")</f>
        <v/>
      </c>
      <c r="U12" s="56" t="str">
        <f>IF('1.Quality'!R9&lt;&gt;"",'1.Quality'!R9,"")</f>
        <v/>
      </c>
      <c r="V12" s="56" t="str">
        <f>IF('1.Quality'!S9&lt;&gt;"",'1.Quality'!S9,"")</f>
        <v/>
      </c>
      <c r="W12" s="84" t="str">
        <f>IF('1.Quality'!T9&lt;&gt;"",'1.Quality'!T9,"")</f>
        <v/>
      </c>
      <c r="X12" s="405"/>
      <c r="Y12" s="405"/>
      <c r="Z12" s="405"/>
      <c r="AA12" s="405"/>
    </row>
    <row r="13" spans="1:27" s="53" customFormat="1" thickBot="1">
      <c r="A13" s="392"/>
      <c r="B13" s="392"/>
      <c r="C13" s="407" t="str">
        <f>IF('2.Regulatory'!A6&lt;&gt;"",'2.Regulatory'!A6,"")</f>
        <v>Registrations &amp; re-certifications on time</v>
      </c>
      <c r="D13" s="388" t="s">
        <v>31</v>
      </c>
      <c r="E13" s="408" t="str">
        <f>IF('2.Regulatory'!B6&lt;&gt;"",'2.Regulatory'!B6,"")</f>
        <v>(Registration approvals and renewals completed on time) *100/ Total number of approvals planned for the month</v>
      </c>
      <c r="F13" s="429" t="str">
        <f>IF('2.Regulatory'!C6&lt;&gt;"",'2.Regulatory'!C6,"")</f>
        <v>&gt;=</v>
      </c>
      <c r="G13" s="429">
        <f>IF('2.Regulatory'!D6&lt;&gt;"",'2.Regulatory'!D6,"")</f>
        <v>0.97</v>
      </c>
      <c r="H13" s="429" t="str">
        <f>IF('2.Regulatory'!E6&lt;&gt;"",'2.Regulatory'!E6,"")</f>
        <v>%</v>
      </c>
      <c r="I13" s="408" t="str">
        <f>IF('2.Regulatory'!F6&lt;&gt;"",'2.Regulatory'!F6,"")</f>
        <v>Higher the better</v>
      </c>
      <c r="J13" s="408" t="str">
        <f>IF('2.Regulatory'!G6&lt;&gt;"",'2.Regulatory'!G6,"")</f>
        <v>Monthly</v>
      </c>
      <c r="K13" s="54" t="s">
        <v>29</v>
      </c>
      <c r="L13" s="55">
        <f>IF('2.Regulatory'!I6&lt;&gt;"",'2.Regulatory'!I6,"")</f>
        <v>0.97</v>
      </c>
      <c r="M13" s="55">
        <f>IF('2.Regulatory'!J6&lt;&gt;"",'2.Regulatory'!J6,"")</f>
        <v>0.97</v>
      </c>
      <c r="N13" s="55">
        <f>IF('2.Regulatory'!K6&lt;&gt;"",'2.Regulatory'!K6,"")</f>
        <v>0.97</v>
      </c>
      <c r="O13" s="55">
        <f>IF('2.Regulatory'!L6&lt;&gt;"",'2.Regulatory'!L6,"")</f>
        <v>0.97</v>
      </c>
      <c r="P13" s="55">
        <f>IF('2.Regulatory'!M6&lt;&gt;"",'2.Regulatory'!M6,"")</f>
        <v>0.97</v>
      </c>
      <c r="Q13" s="55">
        <f>IF('2.Regulatory'!N6&lt;&gt;"",'2.Regulatory'!N6,"")</f>
        <v>0.97</v>
      </c>
      <c r="R13" s="55">
        <f>IF('2.Regulatory'!O6&lt;&gt;"",'2.Regulatory'!O6,"")</f>
        <v>0.97</v>
      </c>
      <c r="S13" s="55">
        <f>IF('2.Regulatory'!P6&lt;&gt;"",'2.Regulatory'!P6,"")</f>
        <v>0.97</v>
      </c>
      <c r="T13" s="55">
        <f>IF('2.Regulatory'!Q6&lt;&gt;"",'2.Regulatory'!Q6,"")</f>
        <v>0.97</v>
      </c>
      <c r="U13" s="55">
        <f>IF('2.Regulatory'!R6&lt;&gt;"",'2.Regulatory'!R6,"")</f>
        <v>0.97</v>
      </c>
      <c r="V13" s="55">
        <f>IF('2.Regulatory'!S6&lt;&gt;"",'2.Regulatory'!S6,"")</f>
        <v>0.97</v>
      </c>
      <c r="W13" s="83">
        <f>IF('2.Regulatory'!T6&lt;&gt;"",'2.Regulatory'!T6,"")</f>
        <v>0.97</v>
      </c>
      <c r="X13" s="405"/>
      <c r="Y13" s="405"/>
      <c r="Z13" s="405"/>
      <c r="AA13" s="405"/>
    </row>
    <row r="14" spans="1:27" s="53" customFormat="1" thickBot="1">
      <c r="A14" s="392"/>
      <c r="B14" s="392"/>
      <c r="C14" s="407"/>
      <c r="D14" s="388"/>
      <c r="E14" s="408"/>
      <c r="F14" s="429"/>
      <c r="G14" s="429"/>
      <c r="H14" s="429"/>
      <c r="I14" s="408"/>
      <c r="J14" s="408"/>
      <c r="K14" s="54" t="s">
        <v>30</v>
      </c>
      <c r="L14" s="56">
        <f>IF('2.Regulatory'!I7&lt;&gt;"",'2.Regulatory'!I7,"")</f>
        <v>1</v>
      </c>
      <c r="M14" s="56">
        <f>IF('2.Regulatory'!J7&lt;&gt;"",'2.Regulatory'!J7,"")</f>
        <v>1</v>
      </c>
      <c r="N14" s="56">
        <f>IF('2.Regulatory'!K7&lt;&gt;"",'2.Regulatory'!K7,"")</f>
        <v>1</v>
      </c>
      <c r="O14" s="56">
        <f>IF('2.Regulatory'!L7&lt;&gt;"",'2.Regulatory'!L7,"")</f>
        <v>0.66666666666666663</v>
      </c>
      <c r="P14" s="56">
        <f>IF('2.Regulatory'!M7&lt;&gt;"",'2.Regulatory'!M7,"")</f>
        <v>1</v>
      </c>
      <c r="Q14" s="56">
        <f>IF('2.Regulatory'!N7&lt;&gt;"",'2.Regulatory'!N7,"")</f>
        <v>1</v>
      </c>
      <c r="R14" s="56">
        <f>IF('2.Regulatory'!O7&lt;&gt;"",'2.Regulatory'!O7,"")</f>
        <v>1</v>
      </c>
      <c r="S14" s="56">
        <f>IF('2.Regulatory'!P7&lt;&gt;"",'2.Regulatory'!P7,"")</f>
        <v>1</v>
      </c>
      <c r="T14" s="56" t="str">
        <f>IF('2.Regulatory'!Q7&lt;&gt;"",'2.Regulatory'!Q7,"")</f>
        <v/>
      </c>
      <c r="U14" s="56" t="str">
        <f>IF('2.Regulatory'!R7&lt;&gt;"",'2.Regulatory'!R7,"")</f>
        <v/>
      </c>
      <c r="V14" s="56" t="str">
        <f>IF('2.Regulatory'!S7&lt;&gt;"",'2.Regulatory'!S7,"")</f>
        <v/>
      </c>
      <c r="W14" s="84" t="str">
        <f>IF('2.Regulatory'!T7&lt;&gt;"",'2.Regulatory'!T7,"")</f>
        <v/>
      </c>
      <c r="X14" s="405"/>
      <c r="Y14" s="405"/>
      <c r="Z14" s="405"/>
      <c r="AA14" s="405"/>
    </row>
    <row r="15" spans="1:27" s="53" customFormat="1" thickBot="1">
      <c r="A15" s="392"/>
      <c r="B15" s="392"/>
      <c r="C15" s="407" t="str">
        <f>IF('2.Regulatory'!A10&lt;&gt;"",'2.Regulatory'!A10,"")</f>
        <v>Submission on Time</v>
      </c>
      <c r="D15" s="388" t="s">
        <v>31</v>
      </c>
      <c r="E15" s="408" t="str">
        <f>IF('2.Regulatory'!B10&lt;&gt;"",'2.Regulatory'!B10,"")</f>
        <v>(Regulatory submissions executed on time) *100/ Total number of submissions planned for the month</v>
      </c>
      <c r="F15" s="429" t="str">
        <f>IF('2.Regulatory'!C10&lt;&gt;"",'2.Regulatory'!C10,"")</f>
        <v>&gt;=</v>
      </c>
      <c r="G15" s="429">
        <f>IF('2.Regulatory'!D10&lt;&gt;"",'2.Regulatory'!D10,"")</f>
        <v>1</v>
      </c>
      <c r="H15" s="429" t="str">
        <f>IF('2.Regulatory'!E10&lt;&gt;"",'2.Regulatory'!E10,"")</f>
        <v>%</v>
      </c>
      <c r="I15" s="408" t="str">
        <f>IF('2.Regulatory'!F10&lt;&gt;"",'2.Regulatory'!F10,"")</f>
        <v>Higher the better</v>
      </c>
      <c r="J15" s="408" t="str">
        <f>IF('2.Regulatory'!G10&lt;&gt;"",'2.Regulatory'!G10,"")</f>
        <v>Monthly</v>
      </c>
      <c r="K15" s="54" t="s">
        <v>29</v>
      </c>
      <c r="L15" s="55">
        <f>IF('2.Regulatory'!I10&lt;&gt;"",'2.Regulatory'!I10,"")</f>
        <v>1</v>
      </c>
      <c r="M15" s="55">
        <f>IF('2.Regulatory'!J10&lt;&gt;"",'2.Regulatory'!J10,"")</f>
        <v>1</v>
      </c>
      <c r="N15" s="55">
        <f>IF('2.Regulatory'!K10&lt;&gt;"",'2.Regulatory'!K10,"")</f>
        <v>1</v>
      </c>
      <c r="O15" s="55">
        <f>IF('2.Regulatory'!L10&lt;&gt;"",'2.Regulatory'!L10,"")</f>
        <v>1</v>
      </c>
      <c r="P15" s="55">
        <f>IF('2.Regulatory'!M10&lt;&gt;"",'2.Regulatory'!M10,"")</f>
        <v>1</v>
      </c>
      <c r="Q15" s="55">
        <f>IF('2.Regulatory'!N10&lt;&gt;"",'2.Regulatory'!N10,"")</f>
        <v>1</v>
      </c>
      <c r="R15" s="55">
        <f>IF('2.Regulatory'!O10&lt;&gt;"",'2.Regulatory'!O10,"")</f>
        <v>1</v>
      </c>
      <c r="S15" s="55">
        <f>IF('2.Regulatory'!P10&lt;&gt;"",'2.Regulatory'!P10,"")</f>
        <v>1</v>
      </c>
      <c r="T15" s="55">
        <f>IF('2.Regulatory'!Q10&lt;&gt;"",'2.Regulatory'!Q10,"")</f>
        <v>1</v>
      </c>
      <c r="U15" s="55">
        <f>IF('2.Regulatory'!R10&lt;&gt;"",'2.Regulatory'!R10,"")</f>
        <v>1</v>
      </c>
      <c r="V15" s="55">
        <f>IF('2.Regulatory'!S10&lt;&gt;"",'2.Regulatory'!S10,"")</f>
        <v>1</v>
      </c>
      <c r="W15" s="83">
        <f>IF('2.Regulatory'!T10&lt;&gt;"",'2.Regulatory'!T10,"")</f>
        <v>1</v>
      </c>
      <c r="X15" s="405"/>
      <c r="Y15" s="405"/>
      <c r="Z15" s="405"/>
      <c r="AA15" s="405"/>
    </row>
    <row r="16" spans="1:27" s="53" customFormat="1" thickBot="1">
      <c r="A16" s="392"/>
      <c r="B16" s="392"/>
      <c r="C16" s="407"/>
      <c r="D16" s="388"/>
      <c r="E16" s="408"/>
      <c r="F16" s="429"/>
      <c r="G16" s="429"/>
      <c r="H16" s="429"/>
      <c r="I16" s="408"/>
      <c r="J16" s="408"/>
      <c r="K16" s="54" t="s">
        <v>30</v>
      </c>
      <c r="L16" s="56">
        <f>IF('2.Regulatory'!I11&lt;&gt;"",'2.Regulatory'!I11,"")</f>
        <v>1</v>
      </c>
      <c r="M16" s="56">
        <f>IF('2.Regulatory'!J11&lt;&gt;"",'2.Regulatory'!J11,"")</f>
        <v>1</v>
      </c>
      <c r="N16" s="56">
        <f>IF('2.Regulatory'!K11&lt;&gt;"",'2.Regulatory'!K11,"")</f>
        <v>1</v>
      </c>
      <c r="O16" s="56">
        <f>IF('2.Regulatory'!L11&lt;&gt;"",'2.Regulatory'!L11,"")</f>
        <v>0.91666666666666663</v>
      </c>
      <c r="P16" s="56">
        <f>IF('2.Regulatory'!M11&lt;&gt;"",'2.Regulatory'!M11,"")</f>
        <v>1</v>
      </c>
      <c r="Q16" s="56">
        <f>IF('2.Regulatory'!N11&lt;&gt;"",'2.Regulatory'!N11,"")</f>
        <v>1</v>
      </c>
      <c r="R16" s="56">
        <f>IF('2.Regulatory'!O11&lt;&gt;"",'2.Regulatory'!O11,"")</f>
        <v>1</v>
      </c>
      <c r="S16" s="56">
        <f>IF('2.Regulatory'!P11&lt;&gt;"",'2.Regulatory'!P11,"")</f>
        <v>1</v>
      </c>
      <c r="T16" s="56" t="str">
        <f>IF('2.Regulatory'!Q11&lt;&gt;"",'2.Regulatory'!Q11,"")</f>
        <v/>
      </c>
      <c r="U16" s="56" t="str">
        <f>IF('2.Regulatory'!R11&lt;&gt;"",'2.Regulatory'!R11,"")</f>
        <v/>
      </c>
      <c r="V16" s="56" t="str">
        <f>IF('2.Regulatory'!S11&lt;&gt;"",'2.Regulatory'!S11,"")</f>
        <v/>
      </c>
      <c r="W16" s="84" t="str">
        <f>IF('2.Regulatory'!T11&lt;&gt;"",'2.Regulatory'!T11,"")</f>
        <v/>
      </c>
      <c r="X16" s="405"/>
      <c r="Y16" s="405"/>
      <c r="Z16" s="405"/>
      <c r="AA16" s="405"/>
    </row>
    <row r="17" spans="1:27" s="53" customFormat="1" thickBot="1">
      <c r="A17" s="392"/>
      <c r="B17" s="392"/>
      <c r="C17" s="407" t="e">
        <f>IF(#REF!&lt;&gt;"",#REF!,"")</f>
        <v>#REF!</v>
      </c>
      <c r="D17" s="388" t="s">
        <v>32</v>
      </c>
      <c r="E17" s="408" t="e">
        <f>IF(#REF!&lt;&gt;"",#REF!,"")</f>
        <v>#REF!</v>
      </c>
      <c r="F17" s="429" t="e">
        <f>IF(#REF!&lt;&gt;"",#REF!,"")</f>
        <v>#REF!</v>
      </c>
      <c r="G17" s="429" t="e">
        <f>IF(#REF!&lt;&gt;"",#REF!,"")</f>
        <v>#REF!</v>
      </c>
      <c r="H17" s="429" t="e">
        <f>IF(#REF!&lt;&gt;"",#REF!,"")</f>
        <v>#REF!</v>
      </c>
      <c r="I17" s="408" t="e">
        <f>IF(#REF!&lt;&gt;"",#REF!,"")</f>
        <v>#REF!</v>
      </c>
      <c r="J17" s="408" t="e">
        <f>IF(#REF!&lt;&gt;"",#REF!,"")</f>
        <v>#REF!</v>
      </c>
      <c r="K17" s="54" t="s">
        <v>29</v>
      </c>
      <c r="L17" s="64" t="e">
        <f>IF(#REF!&lt;&gt;"",#REF!,"")</f>
        <v>#REF!</v>
      </c>
      <c r="M17" s="64" t="e">
        <f>IF(#REF!&lt;&gt;"",#REF!,"")</f>
        <v>#REF!</v>
      </c>
      <c r="N17" s="64" t="e">
        <f>IF(#REF!&lt;&gt;"",#REF!,"")</f>
        <v>#REF!</v>
      </c>
      <c r="O17" s="64" t="e">
        <f>IF(#REF!&lt;&gt;"",#REF!,"")</f>
        <v>#REF!</v>
      </c>
      <c r="P17" s="64" t="e">
        <f>IF(#REF!&lt;&gt;"",#REF!,"")</f>
        <v>#REF!</v>
      </c>
      <c r="Q17" s="64" t="e">
        <f>IF(#REF!&lt;&gt;"",#REF!,"")</f>
        <v>#REF!</v>
      </c>
      <c r="R17" s="64" t="e">
        <f>IF(#REF!&lt;&gt;"",#REF!,"")</f>
        <v>#REF!</v>
      </c>
      <c r="S17" s="64" t="e">
        <f>IF(#REF!&lt;&gt;"",#REF!,"")</f>
        <v>#REF!</v>
      </c>
      <c r="T17" s="64" t="e">
        <f>IF(#REF!&lt;&gt;"",#REF!,"")</f>
        <v>#REF!</v>
      </c>
      <c r="U17" s="64" t="e">
        <f>IF(#REF!&lt;&gt;"",#REF!,"")</f>
        <v>#REF!</v>
      </c>
      <c r="V17" s="64" t="e">
        <f>IF(#REF!&lt;&gt;"",#REF!,"")</f>
        <v>#REF!</v>
      </c>
      <c r="W17" s="81" t="e">
        <f>IF(#REF!&lt;&gt;"",#REF!,"")</f>
        <v>#REF!</v>
      </c>
      <c r="X17" s="405"/>
      <c r="Y17" s="405"/>
      <c r="Z17" s="405"/>
      <c r="AA17" s="405"/>
    </row>
    <row r="18" spans="1:27" s="53" customFormat="1" thickBot="1">
      <c r="A18" s="392"/>
      <c r="B18" s="392"/>
      <c r="C18" s="407"/>
      <c r="D18" s="388"/>
      <c r="E18" s="408"/>
      <c r="F18" s="429"/>
      <c r="G18" s="429"/>
      <c r="H18" s="429"/>
      <c r="I18" s="408"/>
      <c r="J18" s="408"/>
      <c r="K18" s="54" t="s">
        <v>30</v>
      </c>
      <c r="L18" s="63" t="e">
        <f>IF(#REF!&lt;&gt;"",#REF!,"")</f>
        <v>#REF!</v>
      </c>
      <c r="M18" s="63" t="e">
        <f>IF(#REF!&lt;&gt;"",#REF!,"")</f>
        <v>#REF!</v>
      </c>
      <c r="N18" s="63" t="e">
        <f>IF(#REF!&lt;&gt;"",#REF!,"")</f>
        <v>#REF!</v>
      </c>
      <c r="O18" s="63" t="e">
        <f>IF(#REF!&lt;&gt;"",#REF!,"")</f>
        <v>#REF!</v>
      </c>
      <c r="P18" s="63" t="e">
        <f>IF(#REF!&lt;&gt;"",#REF!,"")</f>
        <v>#REF!</v>
      </c>
      <c r="Q18" s="63" t="e">
        <f>IF(#REF!&lt;&gt;"",#REF!,"")</f>
        <v>#REF!</v>
      </c>
      <c r="R18" s="63" t="e">
        <f>IF(#REF!&lt;&gt;"",#REF!,"")</f>
        <v>#REF!</v>
      </c>
      <c r="S18" s="63" t="e">
        <f>IF(#REF!&lt;&gt;"",#REF!,"")</f>
        <v>#REF!</v>
      </c>
      <c r="T18" s="63" t="e">
        <f>IF(#REF!&lt;&gt;"",#REF!,"")</f>
        <v>#REF!</v>
      </c>
      <c r="U18" s="63" t="e">
        <f>IF(#REF!&lt;&gt;"",#REF!,"")</f>
        <v>#REF!</v>
      </c>
      <c r="V18" s="63" t="e">
        <f>IF(#REF!&lt;&gt;"",#REF!,"")</f>
        <v>#REF!</v>
      </c>
      <c r="W18" s="82" t="e">
        <f>IF(#REF!&lt;&gt;"",#REF!,"")</f>
        <v>#REF!</v>
      </c>
      <c r="X18" s="405"/>
      <c r="Y18" s="405"/>
      <c r="Z18" s="405"/>
      <c r="AA18" s="405"/>
    </row>
    <row r="19" spans="1:27" s="53" customFormat="1" thickBot="1">
      <c r="A19" s="392"/>
      <c r="B19" s="392"/>
      <c r="C19" s="407" t="e">
        <f>IF(#REF!&lt;&gt;"",#REF!,"")</f>
        <v>#REF!</v>
      </c>
      <c r="D19" s="388" t="s">
        <v>32</v>
      </c>
      <c r="E19" s="408" t="e">
        <f>IF(#REF!&lt;&gt;"",#REF!,"")</f>
        <v>#REF!</v>
      </c>
      <c r="F19" s="429" t="e">
        <f>IF(#REF!&lt;&gt;"",#REF!,"")</f>
        <v>#REF!</v>
      </c>
      <c r="G19" s="429" t="e">
        <f>IF(#REF!&lt;&gt;"",#REF!,"")</f>
        <v>#REF!</v>
      </c>
      <c r="H19" s="429" t="e">
        <f>IF(#REF!&lt;&gt;"",#REF!,"")</f>
        <v>#REF!</v>
      </c>
      <c r="I19" s="408" t="e">
        <f>IF(#REF!&lt;&gt;"",#REF!,"")</f>
        <v>#REF!</v>
      </c>
      <c r="J19" s="408" t="e">
        <f>IF(#REF!&lt;&gt;"",#REF!,"")</f>
        <v>#REF!</v>
      </c>
      <c r="K19" s="54" t="s">
        <v>29</v>
      </c>
      <c r="L19" s="64" t="e">
        <f>IF(#REF!&lt;&gt;"",#REF!,"")</f>
        <v>#REF!</v>
      </c>
      <c r="M19" s="64" t="e">
        <f>IF(#REF!&lt;&gt;"",#REF!,"")</f>
        <v>#REF!</v>
      </c>
      <c r="N19" s="64" t="e">
        <f>IF(#REF!&lt;&gt;"",#REF!,"")</f>
        <v>#REF!</v>
      </c>
      <c r="O19" s="64" t="e">
        <f>IF(#REF!&lt;&gt;"",#REF!,"")</f>
        <v>#REF!</v>
      </c>
      <c r="P19" s="64" t="e">
        <f>IF(#REF!&lt;&gt;"",#REF!,"")</f>
        <v>#REF!</v>
      </c>
      <c r="Q19" s="64" t="e">
        <f>IF(#REF!&lt;&gt;"",#REF!,"")</f>
        <v>#REF!</v>
      </c>
      <c r="R19" s="64" t="e">
        <f>IF(#REF!&lt;&gt;"",#REF!,"")</f>
        <v>#REF!</v>
      </c>
      <c r="S19" s="64" t="e">
        <f>IF(#REF!&lt;&gt;"",#REF!,"")</f>
        <v>#REF!</v>
      </c>
      <c r="T19" s="64" t="e">
        <f>IF(#REF!&lt;&gt;"",#REF!,"")</f>
        <v>#REF!</v>
      </c>
      <c r="U19" s="64" t="e">
        <f>IF(#REF!&lt;&gt;"",#REF!,"")</f>
        <v>#REF!</v>
      </c>
      <c r="V19" s="64" t="e">
        <f>IF(#REF!&lt;&gt;"",#REF!,"")</f>
        <v>#REF!</v>
      </c>
      <c r="W19" s="81" t="e">
        <f>IF(#REF!&lt;&gt;"",#REF!,"")</f>
        <v>#REF!</v>
      </c>
      <c r="X19" s="405"/>
      <c r="Y19" s="405"/>
      <c r="Z19" s="405"/>
      <c r="AA19" s="405"/>
    </row>
    <row r="20" spans="1:27" s="53" customFormat="1" thickBot="1">
      <c r="A20" s="392"/>
      <c r="B20" s="392"/>
      <c r="C20" s="407"/>
      <c r="D20" s="388"/>
      <c r="E20" s="408"/>
      <c r="F20" s="429"/>
      <c r="G20" s="429"/>
      <c r="H20" s="429"/>
      <c r="I20" s="408"/>
      <c r="J20" s="408"/>
      <c r="K20" s="54" t="s">
        <v>30</v>
      </c>
      <c r="L20" s="63" t="e">
        <f>IF(#REF!&lt;&gt;"",#REF!,"")</f>
        <v>#REF!</v>
      </c>
      <c r="M20" s="63" t="e">
        <f>IF(#REF!&lt;&gt;"",#REF!,"")</f>
        <v>#REF!</v>
      </c>
      <c r="N20" s="63" t="e">
        <f>IF(#REF!&lt;&gt;"",#REF!,"")</f>
        <v>#REF!</v>
      </c>
      <c r="O20" s="63" t="e">
        <f>IF(#REF!&lt;&gt;"",#REF!,"")</f>
        <v>#REF!</v>
      </c>
      <c r="P20" s="63" t="e">
        <f>IF(#REF!&lt;&gt;"",#REF!,"")</f>
        <v>#REF!</v>
      </c>
      <c r="Q20" s="63" t="e">
        <f>IF(#REF!&lt;&gt;"",#REF!,"")</f>
        <v>#REF!</v>
      </c>
      <c r="R20" s="63" t="e">
        <f>IF(#REF!&lt;&gt;"",#REF!,"")</f>
        <v>#REF!</v>
      </c>
      <c r="S20" s="63" t="e">
        <f>IF(#REF!&lt;&gt;"",#REF!,"")</f>
        <v>#REF!</v>
      </c>
      <c r="T20" s="63" t="e">
        <f>IF(#REF!&lt;&gt;"",#REF!,"")</f>
        <v>#REF!</v>
      </c>
      <c r="U20" s="63" t="e">
        <f>IF(#REF!&lt;&gt;"",#REF!,"")</f>
        <v>#REF!</v>
      </c>
      <c r="V20" s="63" t="e">
        <f>IF(#REF!&lt;&gt;"",#REF!,"")</f>
        <v>#REF!</v>
      </c>
      <c r="W20" s="82" t="e">
        <f>IF(#REF!&lt;&gt;"",#REF!,"")</f>
        <v>#REF!</v>
      </c>
      <c r="X20" s="405"/>
      <c r="Y20" s="405"/>
      <c r="Z20" s="405"/>
      <c r="AA20" s="405"/>
    </row>
    <row r="21" spans="1:27" s="53" customFormat="1" thickBot="1">
      <c r="A21" s="392"/>
      <c r="B21" s="392"/>
      <c r="C21" s="407" t="e">
        <f>IF(#REF!&lt;&gt;"",#REF!,"")</f>
        <v>#REF!</v>
      </c>
      <c r="D21" s="388" t="s">
        <v>32</v>
      </c>
      <c r="E21" s="408" t="e">
        <f>IF(#REF!&lt;&gt;"",#REF!,"")</f>
        <v>#REF!</v>
      </c>
      <c r="F21" s="429" t="e">
        <f>IF(#REF!&lt;&gt;"",#REF!,"")</f>
        <v>#REF!</v>
      </c>
      <c r="G21" s="429" t="e">
        <f>IF(#REF!&lt;&gt;"",#REF!,"")</f>
        <v>#REF!</v>
      </c>
      <c r="H21" s="429" t="e">
        <f>IF(#REF!&lt;&gt;"",#REF!,"")</f>
        <v>#REF!</v>
      </c>
      <c r="I21" s="408" t="e">
        <f>IF(#REF!&lt;&gt;"",#REF!,"")</f>
        <v>#REF!</v>
      </c>
      <c r="J21" s="408" t="e">
        <f>IF(#REF!&lt;&gt;"",#REF!,"")</f>
        <v>#REF!</v>
      </c>
      <c r="K21" s="54" t="s">
        <v>29</v>
      </c>
      <c r="L21" s="64" t="e">
        <f>IF(#REF!&lt;&gt;"",#REF!,"")</f>
        <v>#REF!</v>
      </c>
      <c r="M21" s="64" t="e">
        <f>IF(#REF!&lt;&gt;"",#REF!,"")</f>
        <v>#REF!</v>
      </c>
      <c r="N21" s="64" t="e">
        <f>IF(#REF!&lt;&gt;"",#REF!,"")</f>
        <v>#REF!</v>
      </c>
      <c r="O21" s="64" t="e">
        <f>IF(#REF!&lt;&gt;"",#REF!,"")</f>
        <v>#REF!</v>
      </c>
      <c r="P21" s="64" t="e">
        <f>IF(#REF!&lt;&gt;"",#REF!,"")</f>
        <v>#REF!</v>
      </c>
      <c r="Q21" s="64" t="e">
        <f>IF(#REF!&lt;&gt;"",#REF!,"")</f>
        <v>#REF!</v>
      </c>
      <c r="R21" s="64" t="e">
        <f>IF(#REF!&lt;&gt;"",#REF!,"")</f>
        <v>#REF!</v>
      </c>
      <c r="S21" s="64" t="e">
        <f>IF(#REF!&lt;&gt;"",#REF!,"")</f>
        <v>#REF!</v>
      </c>
      <c r="T21" s="64" t="e">
        <f>IF(#REF!&lt;&gt;"",#REF!,"")</f>
        <v>#REF!</v>
      </c>
      <c r="U21" s="64" t="e">
        <f>IF(#REF!&lt;&gt;"",#REF!,"")</f>
        <v>#REF!</v>
      </c>
      <c r="V21" s="64" t="e">
        <f>IF(#REF!&lt;&gt;"",#REF!,"")</f>
        <v>#REF!</v>
      </c>
      <c r="W21" s="81" t="e">
        <f>IF(#REF!&lt;&gt;"",#REF!,"")</f>
        <v>#REF!</v>
      </c>
      <c r="X21" s="405"/>
      <c r="Y21" s="405"/>
      <c r="Z21" s="405"/>
      <c r="AA21" s="405"/>
    </row>
    <row r="22" spans="1:27" s="53" customFormat="1" thickBot="1">
      <c r="A22" s="392"/>
      <c r="B22" s="392"/>
      <c r="C22" s="407"/>
      <c r="D22" s="388"/>
      <c r="E22" s="408"/>
      <c r="F22" s="429"/>
      <c r="G22" s="429"/>
      <c r="H22" s="429"/>
      <c r="I22" s="408"/>
      <c r="J22" s="408"/>
      <c r="K22" s="54" t="s">
        <v>30</v>
      </c>
      <c r="L22" s="63" t="e">
        <f>IF(#REF!&lt;&gt;"",#REF!,"")</f>
        <v>#REF!</v>
      </c>
      <c r="M22" s="63" t="e">
        <f>IF(#REF!&lt;&gt;"",#REF!,"")</f>
        <v>#REF!</v>
      </c>
      <c r="N22" s="63" t="e">
        <f>IF(#REF!&lt;&gt;"",#REF!,"")</f>
        <v>#REF!</v>
      </c>
      <c r="O22" s="63" t="e">
        <f>IF(#REF!&lt;&gt;"",#REF!,"")</f>
        <v>#REF!</v>
      </c>
      <c r="P22" s="63" t="e">
        <f>IF(#REF!&lt;&gt;"",#REF!,"")</f>
        <v>#REF!</v>
      </c>
      <c r="Q22" s="63" t="e">
        <f>IF(#REF!&lt;&gt;"",#REF!,"")</f>
        <v>#REF!</v>
      </c>
      <c r="R22" s="63" t="e">
        <f>IF(#REF!&lt;&gt;"",#REF!,"")</f>
        <v>#REF!</v>
      </c>
      <c r="S22" s="63" t="e">
        <f>IF(#REF!&lt;&gt;"",#REF!,"")</f>
        <v>#REF!</v>
      </c>
      <c r="T22" s="63" t="e">
        <f>IF(#REF!&lt;&gt;"",#REF!,"")</f>
        <v>#REF!</v>
      </c>
      <c r="U22" s="63" t="e">
        <f>IF(#REF!&lt;&gt;"",#REF!,"")</f>
        <v>#REF!</v>
      </c>
      <c r="V22" s="63" t="e">
        <f>IF(#REF!&lt;&gt;"",#REF!,"")</f>
        <v>#REF!</v>
      </c>
      <c r="W22" s="82" t="e">
        <f>IF(#REF!&lt;&gt;"",#REF!,"")</f>
        <v>#REF!</v>
      </c>
      <c r="X22" s="405"/>
      <c r="Y22" s="405"/>
      <c r="Z22" s="405"/>
      <c r="AA22" s="405"/>
    </row>
    <row r="23" spans="1:27" s="53" customFormat="1" thickBot="1">
      <c r="A23" s="392" t="s">
        <v>33</v>
      </c>
      <c r="B23" s="392"/>
      <c r="C23" s="408"/>
      <c r="D23" s="388"/>
      <c r="E23" s="408"/>
      <c r="F23" s="429"/>
      <c r="G23" s="429"/>
      <c r="H23" s="429"/>
      <c r="I23" s="408"/>
      <c r="J23" s="408"/>
      <c r="K23" s="54"/>
      <c r="L23" s="64"/>
      <c r="M23" s="64"/>
      <c r="N23" s="64"/>
      <c r="O23" s="64"/>
      <c r="P23" s="64"/>
      <c r="Q23" s="64"/>
      <c r="R23" s="64"/>
      <c r="S23" s="64"/>
      <c r="T23" s="64"/>
      <c r="U23" s="64"/>
      <c r="V23" s="64"/>
      <c r="W23" s="64"/>
      <c r="X23" s="405"/>
      <c r="Y23" s="405"/>
      <c r="Z23" s="405"/>
      <c r="AA23" s="405"/>
    </row>
    <row r="24" spans="1:27" s="53" customFormat="1" thickBot="1">
      <c r="A24" s="392"/>
      <c r="B24" s="392"/>
      <c r="C24" s="408"/>
      <c r="D24" s="388"/>
      <c r="E24" s="408"/>
      <c r="F24" s="429"/>
      <c r="G24" s="429"/>
      <c r="H24" s="429"/>
      <c r="I24" s="408"/>
      <c r="J24" s="408"/>
      <c r="K24" s="54"/>
      <c r="L24" s="63"/>
      <c r="M24" s="63"/>
      <c r="N24" s="63"/>
      <c r="O24" s="63"/>
      <c r="P24" s="63"/>
      <c r="Q24" s="63"/>
      <c r="R24" s="63"/>
      <c r="S24" s="63"/>
      <c r="T24" s="63"/>
      <c r="U24" s="63"/>
      <c r="V24" s="63"/>
      <c r="W24" s="63"/>
      <c r="X24" s="405"/>
      <c r="Y24" s="405"/>
      <c r="Z24" s="405"/>
      <c r="AA24" s="405"/>
    </row>
    <row r="25" spans="1:27" s="53" customFormat="1" thickBot="1">
      <c r="A25" s="392"/>
      <c r="B25" s="392"/>
      <c r="C25" s="408"/>
      <c r="D25" s="388"/>
      <c r="E25" s="408"/>
      <c r="F25" s="429"/>
      <c r="G25" s="429"/>
      <c r="H25" s="429"/>
      <c r="I25" s="408"/>
      <c r="J25" s="408"/>
      <c r="K25" s="54"/>
      <c r="L25" s="64"/>
      <c r="M25" s="64"/>
      <c r="N25" s="64"/>
      <c r="O25" s="64"/>
      <c r="P25" s="64"/>
      <c r="Q25" s="64"/>
      <c r="R25" s="64"/>
      <c r="S25" s="64"/>
      <c r="T25" s="64"/>
      <c r="U25" s="64"/>
      <c r="V25" s="64"/>
      <c r="W25" s="64"/>
      <c r="X25" s="405"/>
      <c r="Y25" s="405"/>
      <c r="Z25" s="405"/>
      <c r="AA25" s="405"/>
    </row>
    <row r="26" spans="1:27" s="53" customFormat="1" thickBot="1">
      <c r="A26" s="392"/>
      <c r="B26" s="392"/>
      <c r="C26" s="408"/>
      <c r="D26" s="388"/>
      <c r="E26" s="408"/>
      <c r="F26" s="429"/>
      <c r="G26" s="429"/>
      <c r="H26" s="429"/>
      <c r="I26" s="408"/>
      <c r="J26" s="408"/>
      <c r="K26" s="54"/>
      <c r="L26" s="63"/>
      <c r="M26" s="63"/>
      <c r="N26" s="63"/>
      <c r="O26" s="63"/>
      <c r="P26" s="63"/>
      <c r="Q26" s="63"/>
      <c r="R26" s="63"/>
      <c r="S26" s="63"/>
      <c r="T26" s="63"/>
      <c r="U26" s="63"/>
      <c r="V26" s="63"/>
      <c r="W26" s="63"/>
      <c r="X26" s="405"/>
      <c r="Y26" s="405"/>
      <c r="Z26" s="405"/>
      <c r="AA26" s="405"/>
    </row>
    <row r="27" spans="1:27" s="53" customFormat="1" thickBot="1">
      <c r="A27" s="392"/>
      <c r="B27" s="392"/>
      <c r="C27" s="408"/>
      <c r="D27" s="388"/>
      <c r="E27" s="408"/>
      <c r="F27" s="429"/>
      <c r="G27" s="429"/>
      <c r="H27" s="429"/>
      <c r="I27" s="408"/>
      <c r="J27" s="408"/>
      <c r="K27" s="54"/>
      <c r="L27" s="64"/>
      <c r="M27" s="64"/>
      <c r="N27" s="64"/>
      <c r="O27" s="64"/>
      <c r="P27" s="64"/>
      <c r="Q27" s="64"/>
      <c r="R27" s="64"/>
      <c r="S27" s="64"/>
      <c r="T27" s="64"/>
      <c r="U27" s="64"/>
      <c r="V27" s="64"/>
      <c r="W27" s="64"/>
      <c r="X27" s="405"/>
      <c r="Y27" s="405"/>
      <c r="Z27" s="405"/>
      <c r="AA27" s="405"/>
    </row>
    <row r="28" spans="1:27" s="53" customFormat="1" thickBot="1">
      <c r="A28" s="392"/>
      <c r="B28" s="392"/>
      <c r="C28" s="408"/>
      <c r="D28" s="388"/>
      <c r="E28" s="408"/>
      <c r="F28" s="429"/>
      <c r="G28" s="429"/>
      <c r="H28" s="429"/>
      <c r="I28" s="408"/>
      <c r="J28" s="408"/>
      <c r="K28" s="54"/>
      <c r="L28" s="63"/>
      <c r="M28" s="63"/>
      <c r="N28" s="63"/>
      <c r="O28" s="63"/>
      <c r="P28" s="63"/>
      <c r="Q28" s="63"/>
      <c r="R28" s="63"/>
      <c r="S28" s="63"/>
      <c r="T28" s="63"/>
      <c r="U28" s="63"/>
      <c r="V28" s="63"/>
      <c r="W28" s="63"/>
      <c r="X28" s="405"/>
      <c r="Y28" s="405"/>
      <c r="Z28" s="405"/>
      <c r="AA28" s="405"/>
    </row>
    <row r="29" spans="1:27" s="53" customFormat="1" ht="18.600000000000001" customHeight="1" thickBot="1">
      <c r="A29" s="392"/>
      <c r="B29" s="392"/>
      <c r="C29" s="408"/>
      <c r="D29" s="388"/>
      <c r="E29" s="408"/>
      <c r="F29" s="429"/>
      <c r="G29" s="429"/>
      <c r="H29" s="429"/>
      <c r="I29" s="408"/>
      <c r="J29" s="408"/>
      <c r="K29" s="54"/>
      <c r="L29" s="55"/>
      <c r="M29" s="55"/>
      <c r="N29" s="55"/>
      <c r="O29" s="55"/>
      <c r="P29" s="55"/>
      <c r="Q29" s="55"/>
      <c r="R29" s="55"/>
      <c r="S29" s="55"/>
      <c r="T29" s="55"/>
      <c r="U29" s="55"/>
      <c r="V29" s="55"/>
      <c r="W29" s="83"/>
      <c r="X29" s="405"/>
      <c r="Y29" s="405"/>
      <c r="Z29" s="405"/>
      <c r="AA29" s="405"/>
    </row>
    <row r="30" spans="1:27" s="53" customFormat="1" ht="18.600000000000001" customHeight="1" thickBot="1">
      <c r="A30" s="392"/>
      <c r="B30" s="392"/>
      <c r="C30" s="408"/>
      <c r="D30" s="388"/>
      <c r="E30" s="408"/>
      <c r="F30" s="429"/>
      <c r="G30" s="429"/>
      <c r="H30" s="429"/>
      <c r="I30" s="408"/>
      <c r="J30" s="408"/>
      <c r="K30" s="54"/>
      <c r="L30" s="56"/>
      <c r="M30" s="56"/>
      <c r="N30" s="56"/>
      <c r="O30" s="56"/>
      <c r="P30" s="56"/>
      <c r="Q30" s="56"/>
      <c r="R30" s="56"/>
      <c r="S30" s="56"/>
      <c r="T30" s="56"/>
      <c r="U30" s="56"/>
      <c r="V30" s="56"/>
      <c r="W30" s="84"/>
      <c r="X30" s="405"/>
      <c r="Y30" s="405"/>
      <c r="Z30" s="405"/>
      <c r="AA30" s="405"/>
    </row>
    <row r="31" spans="1:27" s="53" customFormat="1" ht="18.600000000000001" customHeight="1" thickBot="1">
      <c r="A31" s="392"/>
      <c r="B31" s="392"/>
      <c r="C31" s="408" t="str">
        <f>IF('9.NAR '!A8&lt;&gt;"",'9.NAR '!A8,"")</f>
        <v>Order Intake</v>
      </c>
      <c r="D31" s="388" t="s">
        <v>34</v>
      </c>
      <c r="E31" s="408" t="str">
        <f>IF('9.NAR '!B8&lt;&gt;"",'9.NAR '!B8,"")</f>
        <v>Financial OIT vs AOP</v>
      </c>
      <c r="F31" s="429" t="str">
        <f>IF('9.NAR '!C8&lt;&gt;"",'9.NAR '!C8,"")</f>
        <v>&gt;</v>
      </c>
      <c r="G31" s="429" t="str">
        <f>IF('9.NAR '!D8&lt;&gt;"",'9.NAR '!D8,"")</f>
        <v>€40</v>
      </c>
      <c r="H31" s="429" t="str">
        <f>IF('9.NAR '!E8&lt;&gt;"",'9.NAR '!E8,"")</f>
        <v>Mn</v>
      </c>
      <c r="I31" s="408" t="str">
        <f>IF('9.NAR '!F8&lt;&gt;"",'9.NAR '!F8,"")</f>
        <v>Higher the better</v>
      </c>
      <c r="J31" s="408" t="str">
        <f>IF('9.NAR '!G8&lt;&gt;"",'9.NAR '!G8,"")</f>
        <v>Monthly</v>
      </c>
      <c r="K31" s="54" t="s">
        <v>29</v>
      </c>
      <c r="L31" s="64">
        <f>IF('9.NAR '!I8&lt;&gt;"",'9.NAR '!I8,"")</f>
        <v>2.4</v>
      </c>
      <c r="M31" s="64">
        <f>IF('9.NAR '!J8&lt;&gt;"",'9.NAR '!J8,"")</f>
        <v>2.4</v>
      </c>
      <c r="N31" s="64">
        <f>IF('9.NAR '!K8&lt;&gt;"",'9.NAR '!K8,"")</f>
        <v>3.2</v>
      </c>
      <c r="O31" s="64">
        <f>IF('9.NAR '!L8&lt;&gt;"",'9.NAR '!L8,"")</f>
        <v>2.1</v>
      </c>
      <c r="P31" s="64">
        <f>IF('9.NAR '!M8&lt;&gt;"",'9.NAR '!M8,"")</f>
        <v>2.1</v>
      </c>
      <c r="Q31" s="64">
        <f>IF('9.NAR '!N8&lt;&gt;"",'9.NAR '!N8,"")</f>
        <v>4.8</v>
      </c>
      <c r="R31" s="64">
        <f>IF('9.NAR '!O8&lt;&gt;"",'9.NAR '!O8,"")</f>
        <v>2.8</v>
      </c>
      <c r="S31" s="64">
        <f>IF('9.NAR '!P8&lt;&gt;"",'9.NAR '!P8,"")</f>
        <v>2.8</v>
      </c>
      <c r="T31" s="64">
        <f>IF('9.NAR '!Q8&lt;&gt;"",'9.NAR '!Q8,"")</f>
        <v>5.6</v>
      </c>
      <c r="U31" s="64">
        <f>IF('9.NAR '!R8&lt;&gt;"",'9.NAR '!R8,"")</f>
        <v>3.7</v>
      </c>
      <c r="V31" s="64">
        <f>IF('9.NAR '!S8&lt;&gt;"",'9.NAR '!S8,"")</f>
        <v>4.0999999999999996</v>
      </c>
      <c r="W31" s="81">
        <f>IF('9.NAR '!T8&lt;&gt;"",'9.NAR '!T8,"")</f>
        <v>4.2</v>
      </c>
      <c r="X31" s="405"/>
      <c r="Y31" s="405"/>
      <c r="Z31" s="405"/>
      <c r="AA31" s="405"/>
    </row>
    <row r="32" spans="1:27" s="53" customFormat="1" ht="18.600000000000001" customHeight="1" thickBot="1">
      <c r="A32" s="392"/>
      <c r="B32" s="392"/>
      <c r="C32" s="408"/>
      <c r="D32" s="388"/>
      <c r="E32" s="408"/>
      <c r="F32" s="429"/>
      <c r="G32" s="429"/>
      <c r="H32" s="429"/>
      <c r="I32" s="408"/>
      <c r="J32" s="408"/>
      <c r="K32" s="54" t="s">
        <v>30</v>
      </c>
      <c r="L32" s="63">
        <f>IF('9.NAR '!I9&lt;&gt;"",'9.NAR '!I9,"")</f>
        <v>2.1</v>
      </c>
      <c r="M32" s="63">
        <f>IF('9.NAR '!J9&lt;&gt;"",'9.NAR '!J9,"")</f>
        <v>2.1</v>
      </c>
      <c r="N32" s="63">
        <f>IF('9.NAR '!K9&lt;&gt;"",'9.NAR '!K9,"")</f>
        <v>3.1</v>
      </c>
      <c r="O32" s="63">
        <f>IF('9.NAR '!L9&lt;&gt;"",'9.NAR '!L9,"")</f>
        <v>4.0999999999999996</v>
      </c>
      <c r="P32" s="63">
        <f>IF('9.NAR '!M9&lt;&gt;"",'9.NAR '!M9,"")</f>
        <v>2.6</v>
      </c>
      <c r="Q32" s="63">
        <f>IF('9.NAR '!N9&lt;&gt;"",'9.NAR '!N9,"")</f>
        <v>3.2</v>
      </c>
      <c r="R32" s="63">
        <f>IF('9.NAR '!O9&lt;&gt;"",'9.NAR '!O9,"")</f>
        <v>0.8</v>
      </c>
      <c r="S32" s="63" t="str">
        <f>IF('9.NAR '!P9&lt;&gt;"",'9.NAR '!P9,"")</f>
        <v/>
      </c>
      <c r="T32" s="63" t="str">
        <f>IF('9.NAR '!Q9&lt;&gt;"",'9.NAR '!Q9,"")</f>
        <v/>
      </c>
      <c r="U32" s="63" t="str">
        <f>IF('9.NAR '!R9&lt;&gt;"",'9.NAR '!R9,"")</f>
        <v/>
      </c>
      <c r="V32" s="63" t="str">
        <f>IF('9.NAR '!S9&lt;&gt;"",'9.NAR '!S9,"")</f>
        <v/>
      </c>
      <c r="W32" s="82" t="str">
        <f>IF('9.NAR '!T9&lt;&gt;"",'9.NAR '!T9,"")</f>
        <v/>
      </c>
      <c r="X32" s="405"/>
      <c r="Y32" s="405"/>
      <c r="Z32" s="405"/>
      <c r="AA32" s="405"/>
    </row>
    <row r="33" spans="1:27" s="53" customFormat="1" ht="18.600000000000001" customHeight="1" thickBot="1">
      <c r="A33" s="392"/>
      <c r="B33" s="392"/>
      <c r="C33" s="408" t="str">
        <f>IF('9.NAR '!A10&lt;&gt;"",'9.NAR '!A10,"")</f>
        <v xml:space="preserve">POS  Attachment Rate </v>
      </c>
      <c r="D33" s="389" t="s">
        <v>34</v>
      </c>
      <c r="E33" s="408" t="str">
        <f>IF('9.NAR '!B10&lt;&gt;"",'9.NAR '!B10,"")</f>
        <v>PoS Attachement</v>
      </c>
      <c r="F33" s="429" t="str">
        <f>IF('9.NAR '!C10&lt;&gt;"",'9.NAR '!C10,"")</f>
        <v>&gt;=</v>
      </c>
      <c r="G33" s="429" t="str">
        <f>IF('9.NAR '!D10&lt;&gt;"",'9.NAR '!D10,"")</f>
        <v>%</v>
      </c>
      <c r="H33" s="429" t="str">
        <f>IF('9.NAR '!E10&lt;&gt;"",'9.NAR '!E10,"")</f>
        <v>%</v>
      </c>
      <c r="I33" s="408" t="str">
        <f>IF('9.NAR '!F10&lt;&gt;"",'9.NAR '!F10,"")</f>
        <v>Higher the better</v>
      </c>
      <c r="J33" s="408" t="str">
        <f>IF('9.NAR '!G10&lt;&gt;"",'9.NAR '!G10,"")</f>
        <v>Monthly</v>
      </c>
      <c r="K33" s="54" t="s">
        <v>29</v>
      </c>
      <c r="L33" s="64">
        <f>IF('9.NAR '!I10&lt;&gt;"",'9.NAR '!I10,"")</f>
        <v>40</v>
      </c>
      <c r="M33" s="64">
        <f>IF('9.NAR '!J10&lt;&gt;"",'9.NAR '!J10,"")</f>
        <v>40</v>
      </c>
      <c r="N33" s="64">
        <f>IF('9.NAR '!K10&lt;&gt;"",'9.NAR '!K10,"")</f>
        <v>40</v>
      </c>
      <c r="O33" s="64">
        <f>IF('9.NAR '!L10&lt;&gt;"",'9.NAR '!L10,"")</f>
        <v>40</v>
      </c>
      <c r="P33" s="64">
        <f>IF('9.NAR '!M10&lt;&gt;"",'9.NAR '!M10,"")</f>
        <v>40</v>
      </c>
      <c r="Q33" s="64">
        <f>IF('9.NAR '!N10&lt;&gt;"",'9.NAR '!N10,"")</f>
        <v>40</v>
      </c>
      <c r="R33" s="64">
        <f>IF('9.NAR '!O10&lt;&gt;"",'9.NAR '!O10,"")</f>
        <v>40</v>
      </c>
      <c r="S33" s="64">
        <f>IF('9.NAR '!P10&lt;&gt;"",'9.NAR '!P10,"")</f>
        <v>40</v>
      </c>
      <c r="T33" s="64">
        <f>IF('9.NAR '!Q10&lt;&gt;"",'9.NAR '!Q10,"")</f>
        <v>40</v>
      </c>
      <c r="U33" s="64">
        <f>IF('9.NAR '!R10&lt;&gt;"",'9.NAR '!R10,"")</f>
        <v>40</v>
      </c>
      <c r="V33" s="64">
        <f>IF('9.NAR '!S10&lt;&gt;"",'9.NAR '!S10,"")</f>
        <v>40</v>
      </c>
      <c r="W33" s="81">
        <f>IF('9.NAR '!T10&lt;&gt;"",'9.NAR '!T10,"")</f>
        <v>40</v>
      </c>
      <c r="X33" s="405"/>
      <c r="Y33" s="405"/>
      <c r="Z33" s="405"/>
      <c r="AA33" s="405"/>
    </row>
    <row r="34" spans="1:27" s="53" customFormat="1" ht="18.600000000000001" customHeight="1" thickBot="1">
      <c r="A34" s="392"/>
      <c r="B34" s="392"/>
      <c r="C34" s="408"/>
      <c r="D34" s="389"/>
      <c r="E34" s="408"/>
      <c r="F34" s="429"/>
      <c r="G34" s="429"/>
      <c r="H34" s="429"/>
      <c r="I34" s="408"/>
      <c r="J34" s="408"/>
      <c r="K34" s="54" t="s">
        <v>30</v>
      </c>
      <c r="L34" s="63">
        <f>IF('9.NAR '!I11&lt;&gt;"",'9.NAR '!I11,"")</f>
        <v>60</v>
      </c>
      <c r="M34" s="63">
        <f>IF('9.NAR '!J11&lt;&gt;"",'9.NAR '!J11,"")</f>
        <v>20</v>
      </c>
      <c r="N34" s="63">
        <f>IF('9.NAR '!K11&lt;&gt;"",'9.NAR '!K11,"")</f>
        <v>21</v>
      </c>
      <c r="O34" s="63">
        <f>IF('9.NAR '!L11&lt;&gt;"",'9.NAR '!L11,"")</f>
        <v>68</v>
      </c>
      <c r="P34" s="63">
        <f>IF('9.NAR '!M11&lt;&gt;"",'9.NAR '!M11,"")</f>
        <v>38</v>
      </c>
      <c r="Q34" s="63" t="str">
        <f>IF('9.NAR '!N11&lt;&gt;"",'9.NAR '!N11,"")</f>
        <v/>
      </c>
      <c r="R34" s="63" t="str">
        <f>IF('9.NAR '!O11&lt;&gt;"",'9.NAR '!O11,"")</f>
        <v/>
      </c>
      <c r="S34" s="63" t="str">
        <f>IF('9.NAR '!P11&lt;&gt;"",'9.NAR '!P11,"")</f>
        <v/>
      </c>
      <c r="T34" s="63" t="str">
        <f>IF('9.NAR '!Q11&lt;&gt;"",'9.NAR '!Q11,"")</f>
        <v/>
      </c>
      <c r="U34" s="63" t="str">
        <f>IF('9.NAR '!R11&lt;&gt;"",'9.NAR '!R11,"")</f>
        <v/>
      </c>
      <c r="V34" s="63" t="str">
        <f>IF('9.NAR '!S11&lt;&gt;"",'9.NAR '!S11,"")</f>
        <v/>
      </c>
      <c r="W34" s="82" t="str">
        <f>IF('9.NAR '!T11&lt;&gt;"",'9.NAR '!T11,"")</f>
        <v/>
      </c>
      <c r="X34" s="405"/>
      <c r="Y34" s="405"/>
      <c r="Z34" s="405"/>
      <c r="AA34" s="405"/>
    </row>
    <row r="35" spans="1:27" s="53" customFormat="1" thickBot="1">
      <c r="A35" s="392"/>
      <c r="B35" s="392"/>
      <c r="C35" s="408" t="str">
        <f>IF('10.EUROPE '!A6&lt;&gt;"",'10.EUROPE '!A6,"")</f>
        <v>Market Share %</v>
      </c>
      <c r="D35" s="389" t="s">
        <v>35</v>
      </c>
      <c r="E35" s="408" t="str">
        <f>IF('10.EUROPE '!B6&lt;&gt;"",'10.EUROPE '!B6,"")</f>
        <v>Q4 '26  MAT Market Share %</v>
      </c>
      <c r="F35" s="429" t="str">
        <f>IF('10.EUROPE '!C6&lt;&gt;"",'10.EUROPE '!C6,"")</f>
        <v>=</v>
      </c>
      <c r="G35" s="429">
        <f>IF('10.EUROPE '!D6&lt;&gt;"",'10.EUROPE '!D6,"")</f>
        <v>0.16500000000000001</v>
      </c>
      <c r="H35" s="429" t="str">
        <f>IF('10.EUROPE '!E6&lt;&gt;"",'10.EUROPE '!E6,"")</f>
        <v>%</v>
      </c>
      <c r="I35" s="408" t="str">
        <f>IF('10.EUROPE '!F6&lt;&gt;"",'10.EUROPE '!F6,"")</f>
        <v>Higher the better</v>
      </c>
      <c r="J35" s="408" t="str">
        <f>IF('10.EUROPE '!G6&lt;&gt;"",'10.EUROPE '!G6,"")</f>
        <v>Quarterly</v>
      </c>
      <c r="K35" s="54" t="s">
        <v>29</v>
      </c>
      <c r="L35" s="74" t="str">
        <f>IF('10.EUROPE '!I6&lt;&gt;"",'10.EUROPE '!I6,"")</f>
        <v/>
      </c>
      <c r="M35" s="74" t="str">
        <f>IF('10.EUROPE '!J6&lt;&gt;"",'10.EUROPE '!J6,"")</f>
        <v/>
      </c>
      <c r="N35" s="74" t="str">
        <f>IF('10.EUROPE '!K6&lt;&gt;"",'10.EUROPE '!K6,"")</f>
        <v/>
      </c>
      <c r="O35" s="74" t="str">
        <f>IF('10.EUROPE '!L6&lt;&gt;"",'10.EUROPE '!L6,"")</f>
        <v/>
      </c>
      <c r="P35" s="74" t="str">
        <f>IF('10.EUROPE '!M6&lt;&gt;"",'10.EUROPE '!M6,"")</f>
        <v/>
      </c>
      <c r="Q35" s="74" t="str">
        <f>IF('10.EUROPE '!N6&lt;&gt;"",'10.EUROPE '!N6,"")</f>
        <v/>
      </c>
      <c r="R35" s="74" t="str">
        <f>IF('10.EUROPE '!O6&lt;&gt;"",'10.EUROPE '!O6,"")</f>
        <v/>
      </c>
      <c r="S35" s="74" t="str">
        <f>IF('10.EUROPE '!P6&lt;&gt;"",'10.EUROPE '!P6,"")</f>
        <v/>
      </c>
      <c r="T35" s="74" t="str">
        <f>IF('10.EUROPE '!Q6&lt;&gt;"",'10.EUROPE '!Q6,"")</f>
        <v/>
      </c>
      <c r="U35" s="74" t="str">
        <f>IF('10.EUROPE '!R6&lt;&gt;"",'10.EUROPE '!R6,"")</f>
        <v/>
      </c>
      <c r="V35" s="74" t="str">
        <f>IF('10.EUROPE '!S6&lt;&gt;"",'10.EUROPE '!S6,"")</f>
        <v/>
      </c>
      <c r="W35" s="85">
        <f>IF('10.EUROPE '!T6&lt;&gt;"",'10.EUROPE '!T6,"")</f>
        <v>0.16500000000000001</v>
      </c>
      <c r="X35" s="405"/>
      <c r="Y35" s="405"/>
      <c r="Z35" s="405"/>
      <c r="AA35" s="405"/>
    </row>
    <row r="36" spans="1:27" s="53" customFormat="1" ht="18.600000000000001" customHeight="1" thickBot="1">
      <c r="A36" s="392"/>
      <c r="B36" s="392"/>
      <c r="C36" s="408"/>
      <c r="D36" s="389"/>
      <c r="E36" s="408"/>
      <c r="F36" s="429"/>
      <c r="G36" s="429"/>
      <c r="H36" s="429"/>
      <c r="I36" s="408"/>
      <c r="J36" s="408"/>
      <c r="K36" s="54" t="s">
        <v>30</v>
      </c>
      <c r="L36" s="75" t="str">
        <f>IF('10.EUROPE '!I7&lt;&gt;"",'10.EUROPE '!I7,"")</f>
        <v/>
      </c>
      <c r="M36" s="75" t="str">
        <f>IF('10.EUROPE '!J7&lt;&gt;"",'10.EUROPE '!J7,"")</f>
        <v/>
      </c>
      <c r="N36" s="75">
        <f>IF('10.EUROPE '!K7&lt;&gt;"",'10.EUROPE '!K7,"")</f>
        <v>0.157</v>
      </c>
      <c r="O36" s="75" t="str">
        <f>IF('10.EUROPE '!L7&lt;&gt;"",'10.EUROPE '!L7,"")</f>
        <v/>
      </c>
      <c r="P36" s="75">
        <f>IF('10.EUROPE '!M7&lt;&gt;"",'10.EUROPE '!M7,"")</f>
        <v>0.14499999999999999</v>
      </c>
      <c r="Q36" s="75" t="str">
        <f>IF('10.EUROPE '!N7&lt;&gt;"",'10.EUROPE '!N7,"")</f>
        <v/>
      </c>
      <c r="R36" s="75" t="str">
        <f>IF('10.EUROPE '!O7&lt;&gt;"",'10.EUROPE '!O7,"")</f>
        <v/>
      </c>
      <c r="S36" s="75" t="str">
        <f>IF('10.EUROPE '!P7&lt;&gt;"",'10.EUROPE '!P7,"")</f>
        <v/>
      </c>
      <c r="T36" s="75" t="str">
        <f>IF('10.EUROPE '!Q7&lt;&gt;"",'10.EUROPE '!Q7,"")</f>
        <v/>
      </c>
      <c r="U36" s="75" t="str">
        <f>IF('10.EUROPE '!R7&lt;&gt;"",'10.EUROPE '!R7,"")</f>
        <v/>
      </c>
      <c r="V36" s="75" t="str">
        <f>IF('10.EUROPE '!S7&lt;&gt;"",'10.EUROPE '!S7,"")</f>
        <v/>
      </c>
      <c r="W36" s="86" t="str">
        <f>IF('10.EUROPE '!T7&lt;&gt;"",'10.EUROPE '!T7,"")</f>
        <v/>
      </c>
      <c r="X36" s="405"/>
      <c r="Y36" s="405"/>
      <c r="Z36" s="405"/>
      <c r="AA36" s="405"/>
    </row>
    <row r="37" spans="1:27" s="53" customFormat="1" ht="18.600000000000001" customHeight="1" thickBot="1">
      <c r="A37" s="392"/>
      <c r="B37" s="392"/>
      <c r="C37" s="408" t="str">
        <f>IF('10.EUROPE '!A8&lt;&gt;"",'10.EUROPE '!A8,"")</f>
        <v>Order Intake EQ</v>
      </c>
      <c r="D37" s="389" t="s">
        <v>35</v>
      </c>
      <c r="E37" s="408" t="str">
        <f>IF('10.EUROPE '!B8&lt;&gt;"",'10.EUROPE '!B8,"")</f>
        <v>2026 FY Order Intake EQ</v>
      </c>
      <c r="F37" s="429" t="str">
        <f>IF('10.EUROPE '!C8&lt;&gt;"",'10.EUROPE '!C8,"")</f>
        <v>=</v>
      </c>
      <c r="G37" s="429">
        <f>IF('10.EUROPE '!D8&lt;&gt;"",'10.EUROPE '!D8,"")</f>
        <v>42</v>
      </c>
      <c r="H37" s="429" t="str">
        <f>IF('10.EUROPE '!E8&lt;&gt;"",'10.EUROPE '!E8,"")</f>
        <v>Mn</v>
      </c>
      <c r="I37" s="408" t="str">
        <f>IF('10.EUROPE '!F8&lt;&gt;"",'10.EUROPE '!F8,"")</f>
        <v>Higher the better</v>
      </c>
      <c r="J37" s="408" t="str">
        <f>IF('10.EUROPE '!G8&lt;&gt;"",'10.EUROPE '!G8,"")</f>
        <v>Monthly</v>
      </c>
      <c r="K37" s="54" t="s">
        <v>29</v>
      </c>
      <c r="L37" s="64">
        <f>IF('10.EUROPE '!I8&lt;&gt;"",'10.EUROPE '!I8,"")</f>
        <v>3</v>
      </c>
      <c r="M37" s="64">
        <f>IF('10.EUROPE '!J8&lt;&gt;"",'10.EUROPE '!J8,"")</f>
        <v>1.6</v>
      </c>
      <c r="N37" s="64">
        <f>IF('10.EUROPE '!K8&lt;&gt;"",'10.EUROPE '!K8,"")</f>
        <v>3.9</v>
      </c>
      <c r="O37" s="64">
        <f>IF('10.EUROPE '!L8&lt;&gt;"",'10.EUROPE '!L8,"")</f>
        <v>3.1</v>
      </c>
      <c r="P37" s="64">
        <f>IF('10.EUROPE '!M8&lt;&gt;"",'10.EUROPE '!M8,"")</f>
        <v>2.1</v>
      </c>
      <c r="Q37" s="64">
        <f>IF('10.EUROPE '!N8&lt;&gt;"",'10.EUROPE '!N8,"")</f>
        <v>4.4000000000000004</v>
      </c>
      <c r="R37" s="64">
        <f>IF('10.EUROPE '!O8&lt;&gt;"",'10.EUROPE '!O8,"")</f>
        <v>2.9</v>
      </c>
      <c r="S37" s="64">
        <f>IF('10.EUROPE '!P8&lt;&gt;"",'10.EUROPE '!P8,"")</f>
        <v>3</v>
      </c>
      <c r="T37" s="64">
        <f>IF('10.EUROPE '!Q8&lt;&gt;"",'10.EUROPE '!Q8,"")</f>
        <v>4.5</v>
      </c>
      <c r="U37" s="64">
        <f>IF('10.EUROPE '!R8&lt;&gt;"",'10.EUROPE '!R8,"")</f>
        <v>3.8</v>
      </c>
      <c r="V37" s="64">
        <f>IF('10.EUROPE '!S8&lt;&gt;"",'10.EUROPE '!S8,"")</f>
        <v>4.7</v>
      </c>
      <c r="W37" s="81">
        <f>IF('10.EUROPE '!T8&lt;&gt;"",'10.EUROPE '!T8,"")</f>
        <v>7.1</v>
      </c>
      <c r="X37" s="405"/>
      <c r="Y37" s="405"/>
      <c r="Z37" s="405"/>
      <c r="AA37" s="405"/>
    </row>
    <row r="38" spans="1:27" s="53" customFormat="1" ht="18.600000000000001" customHeight="1" thickBot="1">
      <c r="A38" s="392"/>
      <c r="B38" s="392"/>
      <c r="C38" s="408"/>
      <c r="D38" s="389"/>
      <c r="E38" s="408"/>
      <c r="F38" s="429"/>
      <c r="G38" s="429"/>
      <c r="H38" s="429"/>
      <c r="I38" s="408"/>
      <c r="J38" s="408"/>
      <c r="K38" s="54" t="s">
        <v>30</v>
      </c>
      <c r="L38" s="63">
        <f>IF('10.EUROPE '!I9&lt;&gt;"",'10.EUROPE '!I9,"")</f>
        <v>1</v>
      </c>
      <c r="M38" s="63">
        <f>IF('10.EUROPE '!J9&lt;&gt;"",'10.EUROPE '!J9,"")</f>
        <v>2.9</v>
      </c>
      <c r="N38" s="63">
        <f>IF('10.EUROPE '!K9&lt;&gt;"",'10.EUROPE '!K9,"")</f>
        <v>5.4</v>
      </c>
      <c r="O38" s="63">
        <f>IF('10.EUROPE '!L9&lt;&gt;"",'10.EUROPE '!L9,"")</f>
        <v>1.9</v>
      </c>
      <c r="P38" s="63">
        <f>IF('10.EUROPE '!M9&lt;&gt;"",'10.EUROPE '!M9,"")</f>
        <v>1.7</v>
      </c>
      <c r="Q38" s="63">
        <f>IF('10.EUROPE '!N9&lt;&gt;"",'10.EUROPE '!N9,"")</f>
        <v>4.4000000000000004</v>
      </c>
      <c r="R38" s="63">
        <f>IF('10.EUROPE '!O9&lt;&gt;"",'10.EUROPE '!O9,"")</f>
        <v>1.5</v>
      </c>
      <c r="S38" s="63">
        <f>IF('10.EUROPE '!P9&lt;&gt;"",'10.EUROPE '!P9,"")</f>
        <v>1.2</v>
      </c>
      <c r="T38" s="63" t="str">
        <f>IF('10.EUROPE '!Q9&lt;&gt;"",'10.EUROPE '!Q9,"")</f>
        <v/>
      </c>
      <c r="U38" s="63" t="str">
        <f>IF('10.EUROPE '!R9&lt;&gt;"",'10.EUROPE '!R9,"")</f>
        <v/>
      </c>
      <c r="V38" s="63" t="str">
        <f>IF('10.EUROPE '!S9&lt;&gt;"",'10.EUROPE '!S9,"")</f>
        <v/>
      </c>
      <c r="W38" s="82" t="str">
        <f>IF('10.EUROPE '!T9&lt;&gt;"",'10.EUROPE '!T9,"")</f>
        <v/>
      </c>
      <c r="X38" s="405"/>
      <c r="Y38" s="405"/>
      <c r="Z38" s="405"/>
      <c r="AA38" s="405"/>
    </row>
    <row r="39" spans="1:27" s="53" customFormat="1" ht="18.600000000000001" customHeight="1" thickBot="1">
      <c r="A39" s="392"/>
      <c r="B39" s="392"/>
      <c r="C39" s="408" t="str">
        <f>IF('10.EUROPE '!A10&lt;&gt;"",'10.EUROPE '!A10,"")</f>
        <v>Order Intake CS</v>
      </c>
      <c r="D39" s="389" t="s">
        <v>35</v>
      </c>
      <c r="E39" s="408" t="str">
        <f>IF('10.EUROPE '!B10&lt;&gt;"",'10.EUROPE '!B10,"")</f>
        <v>2026 FY Order Intake CS</v>
      </c>
      <c r="F39" s="429" t="str">
        <f>IF('10.EUROPE '!C10&lt;&gt;"",'10.EUROPE '!C10,"")</f>
        <v>=</v>
      </c>
      <c r="G39" s="429">
        <f>IF('10.EUROPE '!D10&lt;&gt;"",'10.EUROPE '!D10,"")</f>
        <v>26.9</v>
      </c>
      <c r="H39" s="429" t="str">
        <f>IF('10.EUROPE '!E10&lt;&gt;"",'10.EUROPE '!E10,"")</f>
        <v>Mn</v>
      </c>
      <c r="I39" s="408" t="str">
        <f>IF('10.EUROPE '!F10&lt;&gt;"",'10.EUROPE '!F10,"")</f>
        <v>Higher the better</v>
      </c>
      <c r="J39" s="408" t="str">
        <f>IF('10.EUROPE '!G10&lt;&gt;"",'10.EUROPE '!G10,"")</f>
        <v>Monthly</v>
      </c>
      <c r="K39" s="54" t="s">
        <v>29</v>
      </c>
      <c r="L39" s="64">
        <f>IF('10.EUROPE '!I10&lt;&gt;"",'10.EUROPE '!I10,"")</f>
        <v>2</v>
      </c>
      <c r="M39" s="64">
        <f>IF('10.EUROPE '!J10&lt;&gt;"",'10.EUROPE '!J10,"")</f>
        <v>2</v>
      </c>
      <c r="N39" s="64">
        <f>IF('10.EUROPE '!K10&lt;&gt;"",'10.EUROPE '!K10,"")</f>
        <v>3.5</v>
      </c>
      <c r="O39" s="64">
        <f>IF('10.EUROPE '!L10&lt;&gt;"",'10.EUROPE '!L10,"")</f>
        <v>1.8</v>
      </c>
      <c r="P39" s="64">
        <f>IF('10.EUROPE '!M10&lt;&gt;"",'10.EUROPE '!M10,"")</f>
        <v>1.8</v>
      </c>
      <c r="Q39" s="64">
        <f>IF('10.EUROPE '!N10&lt;&gt;"",'10.EUROPE '!N10,"")</f>
        <v>1.8</v>
      </c>
      <c r="R39" s="64">
        <f>IF('10.EUROPE '!O10&lt;&gt;"",'10.EUROPE '!O10,"")</f>
        <v>1.7</v>
      </c>
      <c r="S39" s="64">
        <f>IF('10.EUROPE '!P10&lt;&gt;"",'10.EUROPE '!P10,"")</f>
        <v>1.3</v>
      </c>
      <c r="T39" s="64">
        <f>IF('10.EUROPE '!Q10&lt;&gt;"",'10.EUROPE '!Q10,"")</f>
        <v>2.5</v>
      </c>
      <c r="U39" s="64">
        <f>IF('10.EUROPE '!R10&lt;&gt;"",'10.EUROPE '!R10,"")</f>
        <v>2.4</v>
      </c>
      <c r="V39" s="64">
        <f>IF('10.EUROPE '!S10&lt;&gt;"",'10.EUROPE '!S10,"")</f>
        <v>2.2999999999999998</v>
      </c>
      <c r="W39" s="81">
        <f>IF('10.EUROPE '!T10&lt;&gt;"",'10.EUROPE '!T10,"")</f>
        <v>3.7</v>
      </c>
      <c r="X39" s="405"/>
      <c r="Y39" s="405"/>
      <c r="Z39" s="405"/>
      <c r="AA39" s="405"/>
    </row>
    <row r="40" spans="1:27" s="53" customFormat="1" ht="18.600000000000001" customHeight="1" thickBot="1">
      <c r="A40" s="392"/>
      <c r="B40" s="392"/>
      <c r="C40" s="408"/>
      <c r="D40" s="389"/>
      <c r="E40" s="408"/>
      <c r="F40" s="429"/>
      <c r="G40" s="429"/>
      <c r="H40" s="429"/>
      <c r="I40" s="408"/>
      <c r="J40" s="408"/>
      <c r="K40" s="54" t="s">
        <v>30</v>
      </c>
      <c r="L40" s="63">
        <f>IF('10.EUROPE '!I11&lt;&gt;"",'10.EUROPE '!I11,"")</f>
        <v>2.6</v>
      </c>
      <c r="M40" s="63">
        <f>IF('10.EUROPE '!J11&lt;&gt;"",'10.EUROPE '!J11,"")</f>
        <v>1.9</v>
      </c>
      <c r="N40" s="63">
        <f>IF('10.EUROPE '!K11&lt;&gt;"",'10.EUROPE '!K11,"")</f>
        <v>3.6</v>
      </c>
      <c r="O40" s="63">
        <f>IF('10.EUROPE '!L11&lt;&gt;"",'10.EUROPE '!L11,"")</f>
        <v>2.9</v>
      </c>
      <c r="P40" s="63">
        <f>IF('10.EUROPE '!M11&lt;&gt;"",'10.EUROPE '!M11,"")</f>
        <v>1.2</v>
      </c>
      <c r="Q40" s="63">
        <f>IF('10.EUROPE '!N11&lt;&gt;"",'10.EUROPE '!N11,"")</f>
        <v>2</v>
      </c>
      <c r="R40" s="63">
        <f>IF('10.EUROPE '!O11&lt;&gt;"",'10.EUROPE '!O11,"")</f>
        <v>1.2</v>
      </c>
      <c r="S40" s="63">
        <f>IF('10.EUROPE '!P11&lt;&gt;"",'10.EUROPE '!P11,"")</f>
        <v>1.3</v>
      </c>
      <c r="T40" s="63" t="str">
        <f>IF('10.EUROPE '!Q11&lt;&gt;"",'10.EUROPE '!Q11,"")</f>
        <v/>
      </c>
      <c r="U40" s="63" t="str">
        <f>IF('10.EUROPE '!R11&lt;&gt;"",'10.EUROPE '!R11,"")</f>
        <v/>
      </c>
      <c r="V40" s="63" t="str">
        <f>IF('10.EUROPE '!S11&lt;&gt;"",'10.EUROPE '!S11,"")</f>
        <v/>
      </c>
      <c r="W40" s="82" t="str">
        <f>IF('10.EUROPE '!T11&lt;&gt;"",'10.EUROPE '!T11,"")</f>
        <v/>
      </c>
      <c r="X40" s="405"/>
      <c r="Y40" s="405"/>
      <c r="Z40" s="405"/>
      <c r="AA40" s="405"/>
    </row>
    <row r="41" spans="1:27" s="53" customFormat="1" thickBot="1">
      <c r="A41" s="392"/>
      <c r="B41" s="392"/>
      <c r="C41" s="408" t="str">
        <f>IF('11.GROWTH '!A6&lt;&gt;"",'11.GROWTH '!A6,"")</f>
        <v>Market Share</v>
      </c>
      <c r="D41" s="389" t="s">
        <v>36</v>
      </c>
      <c r="E41" s="408" t="str">
        <f>IF('11.GROWTH '!B6&lt;&gt;"",'11.GROWTH '!B6,"")</f>
        <v>MAT MS(%)</v>
      </c>
      <c r="F41" s="429" t="str">
        <f>IF('11.GROWTH '!C6&lt;&gt;"",'11.GROWTH '!C6,"")</f>
        <v>=</v>
      </c>
      <c r="G41" s="429">
        <f>IF('11.GROWTH '!D6&lt;&gt;"",'11.GROWTH '!D6,"")</f>
        <v>23</v>
      </c>
      <c r="H41" s="429" t="str">
        <f>IF('11.GROWTH '!E6&lt;&gt;"",'11.GROWTH '!E6,"")</f>
        <v>%</v>
      </c>
      <c r="I41" s="408" t="str">
        <f>IF('11.GROWTH '!F6&lt;&gt;"",'11.GROWTH '!F6,"")</f>
        <v>Higher the better</v>
      </c>
      <c r="J41" s="408" t="str">
        <f>IF('11.GROWTH '!G6&lt;&gt;"",'11.GROWTH '!G6,"")</f>
        <v>Quarterly</v>
      </c>
      <c r="K41" s="54" t="s">
        <v>29</v>
      </c>
      <c r="L41" s="55" t="str">
        <f>IF('11.GROWTH '!I6&lt;&gt;"",'11.GROWTH '!I6,"")</f>
        <v/>
      </c>
      <c r="M41" s="55" t="str">
        <f>IF('11.GROWTH '!J6&lt;&gt;"",'11.GROWTH '!J6,"")</f>
        <v/>
      </c>
      <c r="N41" s="55">
        <f>IF('11.GROWTH '!K6&lt;&gt;"",'11.GROWTH '!K6,"")</f>
        <v>0.2</v>
      </c>
      <c r="O41" s="55" t="str">
        <f>IF('11.GROWTH '!L6&lt;&gt;"",'11.GROWTH '!L6,"")</f>
        <v/>
      </c>
      <c r="P41" s="55" t="str">
        <f>IF('11.GROWTH '!M6&lt;&gt;"",'11.GROWTH '!M6,"")</f>
        <v/>
      </c>
      <c r="Q41" s="55">
        <f>IF('11.GROWTH '!N6&lt;&gt;"",'11.GROWTH '!N6,"")</f>
        <v>0.21</v>
      </c>
      <c r="R41" s="55" t="str">
        <f>IF('11.GROWTH '!O6&lt;&gt;"",'11.GROWTH '!O6,"")</f>
        <v/>
      </c>
      <c r="S41" s="55" t="str">
        <f>IF('11.GROWTH '!P6&lt;&gt;"",'11.GROWTH '!P6,"")</f>
        <v/>
      </c>
      <c r="T41" s="55">
        <f>IF('11.GROWTH '!Q6&lt;&gt;"",'11.GROWTH '!Q6,"")</f>
        <v>0.22</v>
      </c>
      <c r="U41" s="55" t="str">
        <f>IF('11.GROWTH '!R6&lt;&gt;"",'11.GROWTH '!R6,"")</f>
        <v/>
      </c>
      <c r="V41" s="55" t="str">
        <f>IF('11.GROWTH '!S6&lt;&gt;"",'11.GROWTH '!S6,"")</f>
        <v/>
      </c>
      <c r="W41" s="83">
        <f>IF('11.GROWTH '!T6&lt;&gt;"",'11.GROWTH '!T6,"")</f>
        <v>0.23</v>
      </c>
      <c r="X41" s="405"/>
      <c r="Y41" s="405"/>
      <c r="Z41" s="405"/>
      <c r="AA41" s="405"/>
    </row>
    <row r="42" spans="1:27" s="53" customFormat="1" ht="18.600000000000001" customHeight="1" thickBot="1">
      <c r="A42" s="392"/>
      <c r="B42" s="392"/>
      <c r="C42" s="408"/>
      <c r="D42" s="389"/>
      <c r="E42" s="408"/>
      <c r="F42" s="429"/>
      <c r="G42" s="429"/>
      <c r="H42" s="429"/>
      <c r="I42" s="408"/>
      <c r="J42" s="408"/>
      <c r="K42" s="54" t="s">
        <v>30</v>
      </c>
      <c r="L42" s="56" t="str">
        <f>IF('11.GROWTH '!I7&lt;&gt;"",'11.GROWTH '!I7,"")</f>
        <v/>
      </c>
      <c r="M42" s="56" t="str">
        <f>IF('11.GROWTH '!J7&lt;&gt;"",'11.GROWTH '!J7,"")</f>
        <v/>
      </c>
      <c r="N42" s="56" t="str">
        <f>IF('11.GROWTH '!K7&lt;&gt;"",'11.GROWTH '!K7,"")</f>
        <v/>
      </c>
      <c r="O42" s="56" t="str">
        <f>IF('11.GROWTH '!L7&lt;&gt;"",'11.GROWTH '!L7,"")</f>
        <v/>
      </c>
      <c r="P42" s="56" t="str">
        <f>IF('11.GROWTH '!M7&lt;&gt;"",'11.GROWTH '!M7,"")</f>
        <v/>
      </c>
      <c r="Q42" s="56" t="str">
        <f>IF('11.GROWTH '!N7&lt;&gt;"",'11.GROWTH '!N7,"")</f>
        <v/>
      </c>
      <c r="R42" s="56" t="str">
        <f>IF('11.GROWTH '!O7&lt;&gt;"",'11.GROWTH '!O7,"")</f>
        <v/>
      </c>
      <c r="S42" s="56" t="str">
        <f>IF('11.GROWTH '!P7&lt;&gt;"",'11.GROWTH '!P7,"")</f>
        <v/>
      </c>
      <c r="T42" s="56" t="str">
        <f>IF('11.GROWTH '!Q7&lt;&gt;"",'11.GROWTH '!Q7,"")</f>
        <v/>
      </c>
      <c r="U42" s="56" t="str">
        <f>IF('11.GROWTH '!R7&lt;&gt;"",'11.GROWTH '!R7,"")</f>
        <v/>
      </c>
      <c r="V42" s="56" t="str">
        <f>IF('11.GROWTH '!S7&lt;&gt;"",'11.GROWTH '!S7,"")</f>
        <v/>
      </c>
      <c r="W42" s="84" t="str">
        <f>IF('11.GROWTH '!T7&lt;&gt;"",'11.GROWTH '!T7,"")</f>
        <v/>
      </c>
      <c r="X42" s="405"/>
      <c r="Y42" s="405"/>
      <c r="Z42" s="405"/>
      <c r="AA42" s="405"/>
    </row>
    <row r="43" spans="1:27" s="53" customFormat="1" ht="14.85" customHeight="1" thickBot="1">
      <c r="A43" s="392"/>
      <c r="B43" s="392"/>
      <c r="C43" s="408" t="str">
        <f>IF('11.GROWTH '!A8&lt;&gt;"",'11.GROWTH '!A8,"")</f>
        <v>Order Intake EQ</v>
      </c>
      <c r="D43" s="389" t="s">
        <v>36</v>
      </c>
      <c r="E43" s="408" t="str">
        <f>IF('11.GROWTH '!B8&lt;&gt;"",'11.GROWTH '!B8,"")</f>
        <v>AOP OIT FY</v>
      </c>
      <c r="F43" s="429" t="str">
        <f>IF('11.GROWTH '!C8&lt;&gt;"",'11.GROWTH '!C8,"")</f>
        <v>=</v>
      </c>
      <c r="G43" s="429">
        <f>IF('11.GROWTH '!D8&lt;&gt;"",'11.GROWTH '!D8,"")</f>
        <v>62.9</v>
      </c>
      <c r="H43" s="429" t="str">
        <f>IF('11.GROWTH '!E8&lt;&gt;"",'11.GROWTH '!E8,"")</f>
        <v>Mn</v>
      </c>
      <c r="I43" s="408" t="str">
        <f>IF('11.GROWTH '!F8&lt;&gt;"",'11.GROWTH '!F8,"")</f>
        <v>Higher the better</v>
      </c>
      <c r="J43" s="408" t="str">
        <f>IF('11.GROWTH '!G8&lt;&gt;"",'11.GROWTH '!G8,"")</f>
        <v>Monthly</v>
      </c>
      <c r="K43" s="54" t="s">
        <v>29</v>
      </c>
      <c r="L43" s="64">
        <f>IF('11.GROWTH '!I8&lt;&gt;"",'11.GROWTH '!I8,"")</f>
        <v>1.5</v>
      </c>
      <c r="M43" s="64">
        <f>IF('11.GROWTH '!J8&lt;&gt;"",'11.GROWTH '!J8,"")</f>
        <v>4.5</v>
      </c>
      <c r="N43" s="64">
        <f>IF('11.GROWTH '!K8&lt;&gt;"",'11.GROWTH '!K8,"")</f>
        <v>5.5</v>
      </c>
      <c r="O43" s="64">
        <f>IF('11.GROWTH '!L8&lt;&gt;"",'11.GROWTH '!L8,"")</f>
        <v>4.3</v>
      </c>
      <c r="P43" s="64">
        <f>IF('11.GROWTH '!M8&lt;&gt;"",'11.GROWTH '!M8,"")</f>
        <v>6.5</v>
      </c>
      <c r="Q43" s="64">
        <f>IF('11.GROWTH '!N8&lt;&gt;"",'11.GROWTH '!N8,"")</f>
        <v>6.4</v>
      </c>
      <c r="R43" s="64">
        <f>IF('11.GROWTH '!O8&lt;&gt;"",'11.GROWTH '!O8,"")</f>
        <v>3.3</v>
      </c>
      <c r="S43" s="64">
        <f>IF('11.GROWTH '!P8&lt;&gt;"",'11.GROWTH '!P8,"")</f>
        <v>6.1</v>
      </c>
      <c r="T43" s="64">
        <f>IF('11.GROWTH '!Q8&lt;&gt;"",'11.GROWTH '!Q8,"")</f>
        <v>6.4</v>
      </c>
      <c r="U43" s="64">
        <f>IF('11.GROWTH '!R8&lt;&gt;"",'11.GROWTH '!R8,"")</f>
        <v>4.0999999999999996</v>
      </c>
      <c r="V43" s="64">
        <f>IF('11.GROWTH '!S8&lt;&gt;"",'11.GROWTH '!S8,"")</f>
        <v>7.6</v>
      </c>
      <c r="W43" s="81">
        <f>IF('11.GROWTH '!T8&lt;&gt;"",'11.GROWTH '!T8,"")</f>
        <v>6.7</v>
      </c>
      <c r="X43" s="405"/>
      <c r="Y43" s="405"/>
      <c r="Z43" s="405"/>
      <c r="AA43" s="405"/>
    </row>
    <row r="44" spans="1:27" s="53" customFormat="1" ht="14.85" customHeight="1" thickBot="1">
      <c r="A44" s="392"/>
      <c r="B44" s="392"/>
      <c r="C44" s="408"/>
      <c r="D44" s="389"/>
      <c r="E44" s="408"/>
      <c r="F44" s="429"/>
      <c r="G44" s="429"/>
      <c r="H44" s="429"/>
      <c r="I44" s="408"/>
      <c r="J44" s="408"/>
      <c r="K44" s="54" t="s">
        <v>30</v>
      </c>
      <c r="L44" s="63">
        <f>IF('11.GROWTH '!I9&lt;&gt;"",'11.GROWTH '!I9,"")</f>
        <v>2.1</v>
      </c>
      <c r="M44" s="63">
        <f>IF('11.GROWTH '!J9&lt;&gt;"",'11.GROWTH '!J9,"")</f>
        <v>3.4</v>
      </c>
      <c r="N44" s="63">
        <f>IF('11.GROWTH '!K9&lt;&gt;"",'11.GROWTH '!K9,"")</f>
        <v>8.8000000000000007</v>
      </c>
      <c r="O44" s="63">
        <f>IF('11.GROWTH '!L9&lt;&gt;"",'11.GROWTH '!L9,"")</f>
        <v>1.2</v>
      </c>
      <c r="P44" s="63" t="str">
        <f>IF('11.GROWTH '!M9&lt;&gt;"",'11.GROWTH '!M9,"")</f>
        <v/>
      </c>
      <c r="Q44" s="63" t="str">
        <f>IF('11.GROWTH '!N9&lt;&gt;"",'11.GROWTH '!N9,"")</f>
        <v/>
      </c>
      <c r="R44" s="63" t="str">
        <f>IF('11.GROWTH '!O9&lt;&gt;"",'11.GROWTH '!O9,"")</f>
        <v/>
      </c>
      <c r="S44" s="63" t="str">
        <f>IF('11.GROWTH '!P9&lt;&gt;"",'11.GROWTH '!P9,"")</f>
        <v/>
      </c>
      <c r="T44" s="63" t="str">
        <f>IF('11.GROWTH '!Q9&lt;&gt;"",'11.GROWTH '!Q9,"")</f>
        <v/>
      </c>
      <c r="U44" s="63" t="str">
        <f>IF('11.GROWTH '!R9&lt;&gt;"",'11.GROWTH '!R9,"")</f>
        <v/>
      </c>
      <c r="V44" s="63" t="str">
        <f>IF('11.GROWTH '!S9&lt;&gt;"",'11.GROWTH '!S9,"")</f>
        <v/>
      </c>
      <c r="W44" s="82" t="str">
        <f>IF('11.GROWTH '!T9&lt;&gt;"",'11.GROWTH '!T9,"")</f>
        <v/>
      </c>
      <c r="X44" s="405"/>
      <c r="Y44" s="405"/>
      <c r="Z44" s="405"/>
      <c r="AA44" s="405"/>
    </row>
    <row r="45" spans="1:27" s="53" customFormat="1" ht="14.85" customHeight="1" thickBot="1">
      <c r="A45" s="392"/>
      <c r="B45" s="392"/>
      <c r="C45" s="408" t="str">
        <f>IF('11.GROWTH '!A10&lt;&gt;"",'11.GROWTH '!A10,"")</f>
        <v>Order Intake CS</v>
      </c>
      <c r="D45" s="389" t="s">
        <v>36</v>
      </c>
      <c r="E45" s="408" t="str">
        <f>IF('11.GROWTH '!B10&lt;&gt;"",'11.GROWTH '!B10,"")</f>
        <v>AOP OIT FY</v>
      </c>
      <c r="F45" s="429" t="str">
        <f>IF('11.GROWTH '!C10&lt;&gt;"",'11.GROWTH '!C10,"")</f>
        <v>=</v>
      </c>
      <c r="G45" s="429">
        <f>IF('11.GROWTH '!D10&lt;&gt;"",'11.GROWTH '!D10,"")</f>
        <v>32.200000000000003</v>
      </c>
      <c r="H45" s="429" t="str">
        <f>IF('11.GROWTH '!E10&lt;&gt;"",'11.GROWTH '!E10,"")</f>
        <v>Mn</v>
      </c>
      <c r="I45" s="408" t="str">
        <f>IF('11.GROWTH '!F10&lt;&gt;"",'11.GROWTH '!F10,"")</f>
        <v>Higher the better</v>
      </c>
      <c r="J45" s="408" t="str">
        <f>IF('11.GROWTH '!G10&lt;&gt;"",'11.GROWTH '!G10,"")</f>
        <v>Monthly</v>
      </c>
      <c r="K45" s="54" t="s">
        <v>29</v>
      </c>
      <c r="L45" s="55">
        <f>IF('11.GROWTH '!I10&lt;&gt;"",'11.GROWTH '!I10,"")</f>
        <v>2.6970000000000001</v>
      </c>
      <c r="M45" s="55">
        <f>IF('11.GROWTH '!J10&lt;&gt;"",'11.GROWTH '!J10,"")</f>
        <v>1.91</v>
      </c>
      <c r="N45" s="55">
        <f>IF('11.GROWTH '!K10&lt;&gt;"",'11.GROWTH '!K10,"")</f>
        <v>2.4750000000000001</v>
      </c>
      <c r="O45" s="55">
        <f>IF('11.GROWTH '!L10&lt;&gt;"",'11.GROWTH '!L10,"")</f>
        <v>2.2709999999999999</v>
      </c>
      <c r="P45" s="55">
        <f>IF('11.GROWTH '!M10&lt;&gt;"",'11.GROWTH '!M10,"")</f>
        <v>2.7090000000000001</v>
      </c>
      <c r="Q45" s="55">
        <f>IF('11.GROWTH '!N10&lt;&gt;"",'11.GROWTH '!N10,"")</f>
        <v>3.8620000000000001</v>
      </c>
      <c r="R45" s="55">
        <f>IF('11.GROWTH '!O10&lt;&gt;"",'11.GROWTH '!O10,"")</f>
        <v>2.5339999999999998</v>
      </c>
      <c r="S45" s="55">
        <f>IF('11.GROWTH '!P10&lt;&gt;"",'11.GROWTH '!P10,"")</f>
        <v>2.27</v>
      </c>
      <c r="T45" s="55">
        <f>IF('11.GROWTH '!Q10&lt;&gt;"",'11.GROWTH '!Q10,"")</f>
        <v>2.637</v>
      </c>
      <c r="U45" s="55">
        <f>IF('11.GROWTH '!R10&lt;&gt;"",'11.GROWTH '!R10,"")</f>
        <v>1.972</v>
      </c>
      <c r="V45" s="55">
        <f>IF('11.GROWTH '!S10&lt;&gt;"",'11.GROWTH '!S10,"")</f>
        <v>2.246</v>
      </c>
      <c r="W45" s="83">
        <f>IF('11.GROWTH '!T10&lt;&gt;"",'11.GROWTH '!T10,"")</f>
        <v>4.6180000000000003</v>
      </c>
      <c r="X45" s="405"/>
      <c r="Y45" s="405"/>
      <c r="Z45" s="405"/>
      <c r="AA45" s="405"/>
    </row>
    <row r="46" spans="1:27" s="53" customFormat="1" ht="15" customHeight="1" thickBot="1">
      <c r="A46" s="392"/>
      <c r="B46" s="392"/>
      <c r="C46" s="408"/>
      <c r="D46" s="389"/>
      <c r="E46" s="408"/>
      <c r="F46" s="429"/>
      <c r="G46" s="429"/>
      <c r="H46" s="429"/>
      <c r="I46" s="408"/>
      <c r="J46" s="408"/>
      <c r="K46" s="54" t="s">
        <v>30</v>
      </c>
      <c r="L46" s="56">
        <f>IF('11.GROWTH '!I11&lt;&gt;"",'11.GROWTH '!I11,"")</f>
        <v>2</v>
      </c>
      <c r="M46" s="56">
        <f>IF('11.GROWTH '!J11&lt;&gt;"",'11.GROWTH '!J11,"")</f>
        <v>2.2000000000000002</v>
      </c>
      <c r="N46" s="56">
        <f>IF('11.GROWTH '!K11&lt;&gt;"",'11.GROWTH '!K11,"")</f>
        <v>2.5</v>
      </c>
      <c r="O46" s="56">
        <f>IF('11.GROWTH '!L11&lt;&gt;"",'11.GROWTH '!L11,"")</f>
        <v>2.4</v>
      </c>
      <c r="P46" s="56">
        <f>IF('11.GROWTH '!M11&lt;&gt;"",'11.GROWTH '!M11,"")</f>
        <v>3.1</v>
      </c>
      <c r="Q46" s="56">
        <f>IF('11.GROWTH '!N11&lt;&gt;"",'11.GROWTH '!N11,"")</f>
        <v>3.8</v>
      </c>
      <c r="R46" s="56">
        <f>IF('11.GROWTH '!O11&lt;&gt;"",'11.GROWTH '!O11,"")</f>
        <v>2.2000000000000002</v>
      </c>
      <c r="S46" s="56" t="str">
        <f>IF('11.GROWTH '!P11&lt;&gt;"",'11.GROWTH '!P11,"")</f>
        <v/>
      </c>
      <c r="T46" s="56" t="str">
        <f>IF('11.GROWTH '!Q11&lt;&gt;"",'11.GROWTH '!Q11,"")</f>
        <v/>
      </c>
      <c r="U46" s="56" t="str">
        <f>IF('11.GROWTH '!R11&lt;&gt;"",'11.GROWTH '!R11,"")</f>
        <v/>
      </c>
      <c r="V46" s="56" t="str">
        <f>IF('11.GROWTH '!S11&lt;&gt;"",'11.GROWTH '!S11,"")</f>
        <v/>
      </c>
      <c r="W46" s="84" t="str">
        <f>IF('11.GROWTH '!T11&lt;&gt;"",'11.GROWTH '!T11,"")</f>
        <v/>
      </c>
      <c r="X46" s="405"/>
      <c r="Y46" s="405"/>
      <c r="Z46" s="405"/>
      <c r="AA46" s="405"/>
    </row>
    <row r="47" spans="1:27" s="53" customFormat="1" ht="18" customHeight="1" thickBot="1">
      <c r="A47" s="392" t="s">
        <v>37</v>
      </c>
      <c r="B47" s="392"/>
      <c r="C47" s="408" t="str">
        <f>IF('5.R&amp;D '!A6&lt;&gt;"",'5.R&amp;D '!A6,"")</f>
        <v>NPI On-Time (%)</v>
      </c>
      <c r="D47" s="388" t="s">
        <v>38</v>
      </c>
      <c r="E47" s="408" t="str">
        <f>IF('5.R&amp;D '!B6&lt;&gt;"",'5.R&amp;D '!B6,"")</f>
        <v xml:space="preserve">% Dhruv NPI Milestone Readiness Index (%)
</v>
      </c>
      <c r="F47" s="429" t="str">
        <f>IF('5.R&amp;D '!C6&lt;&gt;"",'5.R&amp;D '!C6,"")</f>
        <v>&gt;=</v>
      </c>
      <c r="G47" s="429">
        <f>IF('5.R&amp;D '!D6&lt;&gt;"",'5.R&amp;D '!D6,"")</f>
        <v>90</v>
      </c>
      <c r="H47" s="429" t="str">
        <f>IF('5.R&amp;D '!E6&lt;&gt;"",'5.R&amp;D '!E6,"")</f>
        <v>%</v>
      </c>
      <c r="I47" s="408" t="str">
        <f>IF('5.R&amp;D '!F6&lt;&gt;"",'5.R&amp;D '!F6,"")</f>
        <v>Higher the better</v>
      </c>
      <c r="J47" s="408" t="str">
        <f>IF('5.R&amp;D '!G6&lt;&gt;"",'5.R&amp;D '!G6,"")</f>
        <v>Monthly</v>
      </c>
      <c r="K47" s="54" t="s">
        <v>29</v>
      </c>
      <c r="L47" s="64">
        <f>IF('5.R&amp;D '!I6&lt;&gt;"",'5.R&amp;D '!I6,"")</f>
        <v>90</v>
      </c>
      <c r="M47" s="64">
        <f>IF('5.R&amp;D '!J6&lt;&gt;"",'5.R&amp;D '!J6,"")</f>
        <v>90</v>
      </c>
      <c r="N47" s="64">
        <f>IF('5.R&amp;D '!K6&lt;&gt;"",'5.R&amp;D '!K6,"")</f>
        <v>90</v>
      </c>
      <c r="O47" s="64">
        <f>IF('5.R&amp;D '!L6&lt;&gt;"",'5.R&amp;D '!L6,"")</f>
        <v>90</v>
      </c>
      <c r="P47" s="64">
        <f>IF('5.R&amp;D '!M6&lt;&gt;"",'5.R&amp;D '!M6,"")</f>
        <v>90</v>
      </c>
      <c r="Q47" s="64">
        <f>IF('5.R&amp;D '!N6&lt;&gt;"",'5.R&amp;D '!N6,"")</f>
        <v>90</v>
      </c>
      <c r="R47" s="64">
        <f>IF('5.R&amp;D '!O6&lt;&gt;"",'5.R&amp;D '!O6,"")</f>
        <v>90</v>
      </c>
      <c r="S47" s="64">
        <f>IF('5.R&amp;D '!P6&lt;&gt;"",'5.R&amp;D '!P6,"")</f>
        <v>90</v>
      </c>
      <c r="T47" s="64">
        <f>IF('5.R&amp;D '!Q6&lt;&gt;"",'5.R&amp;D '!Q6,"")</f>
        <v>90</v>
      </c>
      <c r="U47" s="64">
        <f>IF('5.R&amp;D '!R6&lt;&gt;"",'5.R&amp;D '!R6,"")</f>
        <v>90</v>
      </c>
      <c r="V47" s="64">
        <f>IF('5.R&amp;D '!S6&lt;&gt;"",'5.R&amp;D '!S6,"")</f>
        <v>90</v>
      </c>
      <c r="W47" s="81">
        <f>IF('5.R&amp;D '!T6&lt;&gt;"",'5.R&amp;D '!T6,"")</f>
        <v>90</v>
      </c>
      <c r="X47" s="405"/>
      <c r="Y47" s="405"/>
      <c r="Z47" s="405"/>
      <c r="AA47" s="405"/>
    </row>
    <row r="48" spans="1:27" s="53" customFormat="1" ht="18" customHeight="1" thickBot="1">
      <c r="A48" s="392"/>
      <c r="B48" s="392"/>
      <c r="C48" s="408"/>
      <c r="D48" s="388"/>
      <c r="E48" s="408"/>
      <c r="F48" s="429"/>
      <c r="G48" s="429"/>
      <c r="H48" s="429"/>
      <c r="I48" s="408"/>
      <c r="J48" s="408"/>
      <c r="K48" s="54" t="s">
        <v>30</v>
      </c>
      <c r="L48" s="63">
        <f>IF('5.R&amp;D '!I7&lt;&gt;"",'5.R&amp;D '!I7,"")</f>
        <v>60</v>
      </c>
      <c r="M48" s="63">
        <f>IF('5.R&amp;D '!J7&lt;&gt;"",'5.R&amp;D '!J7,"")</f>
        <v>64</v>
      </c>
      <c r="N48" s="63">
        <f>IF('5.R&amp;D '!K7&lt;&gt;"",'5.R&amp;D '!K7,"")</f>
        <v>67</v>
      </c>
      <c r="O48" s="63">
        <f>IF('5.R&amp;D '!L7&lt;&gt;"",'5.R&amp;D '!L7,"")</f>
        <v>72</v>
      </c>
      <c r="P48" s="63">
        <f>IF('5.R&amp;D '!M7&lt;&gt;"",'5.R&amp;D '!M7,"")</f>
        <v>77</v>
      </c>
      <c r="Q48" s="63">
        <f>IF('5.R&amp;D '!N7&lt;&gt;"",'5.R&amp;D '!N7,"")</f>
        <v>91</v>
      </c>
      <c r="R48" s="63">
        <f>IF('5.R&amp;D '!O7&lt;&gt;"",'5.R&amp;D '!O7,"")</f>
        <v>93</v>
      </c>
      <c r="S48" s="63">
        <f>IF('5.R&amp;D '!P7&lt;&gt;"",'5.R&amp;D '!P7,"")</f>
        <v>94</v>
      </c>
      <c r="T48" s="63" t="str">
        <f>IF('5.R&amp;D '!Q7&lt;&gt;"",'5.R&amp;D '!Q7,"")</f>
        <v/>
      </c>
      <c r="U48" s="63" t="str">
        <f>IF('5.R&amp;D '!R7&lt;&gt;"",'5.R&amp;D '!R7,"")</f>
        <v/>
      </c>
      <c r="V48" s="63" t="str">
        <f>IF('5.R&amp;D '!S7&lt;&gt;"",'5.R&amp;D '!S7,"")</f>
        <v/>
      </c>
      <c r="W48" s="82" t="str">
        <f>IF('5.R&amp;D '!T7&lt;&gt;"",'5.R&amp;D '!T7,"")</f>
        <v/>
      </c>
      <c r="X48" s="405"/>
      <c r="Y48" s="405"/>
      <c r="Z48" s="405"/>
      <c r="AA48" s="405"/>
    </row>
    <row r="49" spans="1:27" s="53" customFormat="1" ht="18" customHeight="1" thickBot="1">
      <c r="A49" s="392"/>
      <c r="B49" s="392"/>
      <c r="C49" s="408" t="str">
        <f>IF('5.R&amp;D '!A8&lt;&gt;"",'5.R&amp;D '!A8,"")</f>
        <v>LCM Ontime (%)</v>
      </c>
      <c r="D49" s="388" t="s">
        <v>38</v>
      </c>
      <c r="E49" s="408" t="str">
        <f>IF('5.R&amp;D '!B8&lt;&gt;"",'5.R&amp;D '!B8,"")</f>
        <v>% LCM Change Requests (CRs) implemented on or before the committed implementation date
 (within the reporting month.)</v>
      </c>
      <c r="F49" s="429" t="str">
        <f>IF('5.R&amp;D '!C8&lt;&gt;"",'5.R&amp;D '!C8,"")</f>
        <v>&gt;=</v>
      </c>
      <c r="G49" s="429">
        <f>IF('5.R&amp;D '!D8&lt;&gt;"",'5.R&amp;D '!D8,"")</f>
        <v>85</v>
      </c>
      <c r="H49" s="429" t="str">
        <f>IF('5.R&amp;D '!E8&lt;&gt;"",'5.R&amp;D '!E8,"")</f>
        <v>%</v>
      </c>
      <c r="I49" s="408" t="str">
        <f>IF('5.R&amp;D '!F8&lt;&gt;"",'5.R&amp;D '!F8,"")</f>
        <v>Higher the better</v>
      </c>
      <c r="J49" s="408" t="str">
        <f>IF('5.R&amp;D '!G8&lt;&gt;"",'5.R&amp;D '!G8,"")</f>
        <v>Monthly</v>
      </c>
      <c r="K49" s="54" t="s">
        <v>29</v>
      </c>
      <c r="L49" s="64">
        <f>IF('5.R&amp;D '!I8&lt;&gt;"",'5.R&amp;D '!I8,"")</f>
        <v>85</v>
      </c>
      <c r="M49" s="64">
        <f>IF('5.R&amp;D '!J8&lt;&gt;"",'5.R&amp;D '!J8,"")</f>
        <v>85</v>
      </c>
      <c r="N49" s="64">
        <f>IF('5.R&amp;D '!K8&lt;&gt;"",'5.R&amp;D '!K8,"")</f>
        <v>85</v>
      </c>
      <c r="O49" s="64">
        <f>IF('5.R&amp;D '!L8&lt;&gt;"",'5.R&amp;D '!L8,"")</f>
        <v>85</v>
      </c>
      <c r="P49" s="64">
        <f>IF('5.R&amp;D '!M8&lt;&gt;"",'5.R&amp;D '!M8,"")</f>
        <v>85</v>
      </c>
      <c r="Q49" s="64">
        <f>IF('5.R&amp;D '!N8&lt;&gt;"",'5.R&amp;D '!N8,"")</f>
        <v>85</v>
      </c>
      <c r="R49" s="64">
        <f>IF('5.R&amp;D '!O8&lt;&gt;"",'5.R&amp;D '!O8,"")</f>
        <v>85</v>
      </c>
      <c r="S49" s="64">
        <f>IF('5.R&amp;D '!P8&lt;&gt;"",'5.R&amp;D '!P8,"")</f>
        <v>85</v>
      </c>
      <c r="T49" s="64">
        <f>IF('5.R&amp;D '!Q8&lt;&gt;"",'5.R&amp;D '!Q8,"")</f>
        <v>85</v>
      </c>
      <c r="U49" s="64">
        <f>IF('5.R&amp;D '!R8&lt;&gt;"",'5.R&amp;D '!R8,"")</f>
        <v>85</v>
      </c>
      <c r="V49" s="64">
        <f>IF('5.R&amp;D '!S8&lt;&gt;"",'5.R&amp;D '!S8,"")</f>
        <v>85</v>
      </c>
      <c r="W49" s="81">
        <f>IF('5.R&amp;D '!T8&lt;&gt;"",'5.R&amp;D '!T8,"")</f>
        <v>85</v>
      </c>
      <c r="X49" s="405"/>
      <c r="Y49" s="405"/>
      <c r="Z49" s="405"/>
      <c r="AA49" s="405"/>
    </row>
    <row r="50" spans="1:27" s="53" customFormat="1" ht="18" customHeight="1" thickBot="1">
      <c r="A50" s="392"/>
      <c r="B50" s="392"/>
      <c r="C50" s="408"/>
      <c r="D50" s="388"/>
      <c r="E50" s="408"/>
      <c r="F50" s="429"/>
      <c r="G50" s="429"/>
      <c r="H50" s="429"/>
      <c r="I50" s="408"/>
      <c r="J50" s="408"/>
      <c r="K50" s="54" t="s">
        <v>30</v>
      </c>
      <c r="L50" s="63">
        <f>IF('5.R&amp;D '!I9&lt;&gt;"",'5.R&amp;D '!I9,"")</f>
        <v>80</v>
      </c>
      <c r="M50" s="63">
        <f>IF('5.R&amp;D '!J9&lt;&gt;"",'5.R&amp;D '!J9,"")</f>
        <v>67</v>
      </c>
      <c r="N50" s="63">
        <f>IF('5.R&amp;D '!K9&lt;&gt;"",'5.R&amp;D '!K9,"")</f>
        <v>133</v>
      </c>
      <c r="O50" s="63">
        <f>IF('5.R&amp;D '!L9&lt;&gt;"",'5.R&amp;D '!L9,"")</f>
        <v>50</v>
      </c>
      <c r="P50" s="63">
        <f>IF('5.R&amp;D '!M9&lt;&gt;"",'5.R&amp;D '!M9,"")</f>
        <v>91</v>
      </c>
      <c r="Q50" s="63">
        <f>IF('5.R&amp;D '!N9&lt;&gt;"",'5.R&amp;D '!N9,"")</f>
        <v>80</v>
      </c>
      <c r="R50" s="63">
        <f>IF('5.R&amp;D '!O9&lt;&gt;"",'5.R&amp;D '!O9,"")</f>
        <v>83.3</v>
      </c>
      <c r="S50" s="63">
        <f>IF('5.R&amp;D '!P9&lt;&gt;"",'5.R&amp;D '!P9,"")</f>
        <v>88</v>
      </c>
      <c r="T50" s="63" t="str">
        <f>IF('5.R&amp;D '!Q9&lt;&gt;"",'5.R&amp;D '!Q9,"")</f>
        <v/>
      </c>
      <c r="U50" s="63" t="str">
        <f>IF('5.R&amp;D '!R9&lt;&gt;"",'5.R&amp;D '!R9,"")</f>
        <v/>
      </c>
      <c r="V50" s="63" t="str">
        <f>IF('5.R&amp;D '!S9&lt;&gt;"",'5.R&amp;D '!S9,"")</f>
        <v/>
      </c>
      <c r="W50" s="82" t="str">
        <f>IF('5.R&amp;D '!T9&lt;&gt;"",'5.R&amp;D '!T9,"")</f>
        <v/>
      </c>
      <c r="X50" s="405"/>
      <c r="Y50" s="405"/>
      <c r="Z50" s="405"/>
      <c r="AA50" s="405"/>
    </row>
    <row r="51" spans="1:27" s="53" customFormat="1" ht="18" customHeight="1" thickBot="1">
      <c r="A51" s="392"/>
      <c r="B51" s="392"/>
      <c r="C51" s="408" t="str">
        <f>IF('5.R&amp;D '!A10&lt;&gt;"",'5.R&amp;D '!A10,"")</f>
        <v>I2M Value Creation</v>
      </c>
      <c r="D51" s="388" t="s">
        <v>39</v>
      </c>
      <c r="E51" s="408" t="str">
        <f>IF('5.R&amp;D '!B10&lt;&gt;"",'5.R&amp;D '!B10,"")</f>
        <v>Increase innovation  value delivered</v>
      </c>
      <c r="F51" s="429" t="str">
        <f>IF('5.R&amp;D '!C10&lt;&gt;"",'5.R&amp;D '!C10,"")</f>
        <v>&gt;=</v>
      </c>
      <c r="G51" s="429">
        <f>IF('5.R&amp;D '!D10&lt;&gt;"",'5.R&amp;D '!D10,"")</f>
        <v>67</v>
      </c>
      <c r="H51" s="429" t="str">
        <f>IF('5.R&amp;D '!E10&lt;&gt;"",'5.R&amp;D '!E10,"")</f>
        <v>No.</v>
      </c>
      <c r="I51" s="408" t="str">
        <f>IF('5.R&amp;D '!F10&lt;&gt;"",'5.R&amp;D '!F10,"")</f>
        <v>Higher the better</v>
      </c>
      <c r="J51" s="408" t="str">
        <f>IF('5.R&amp;D '!G10&lt;&gt;"",'5.R&amp;D '!G10,"")</f>
        <v>Monthly</v>
      </c>
      <c r="K51" s="54" t="s">
        <v>29</v>
      </c>
      <c r="L51" s="64">
        <f>IF('5.R&amp;D '!I10&lt;&gt;"",'5.R&amp;D '!I10,"")</f>
        <v>5.5</v>
      </c>
      <c r="M51" s="64">
        <f>IF('5.R&amp;D '!J10&lt;&gt;"",'5.R&amp;D '!J10,"")</f>
        <v>11</v>
      </c>
      <c r="N51" s="64">
        <f>IF('5.R&amp;D '!K10&lt;&gt;"",'5.R&amp;D '!K10,"")</f>
        <v>16.5</v>
      </c>
      <c r="O51" s="64">
        <f>IF('5.R&amp;D '!L10&lt;&gt;"",'5.R&amp;D '!L10,"")</f>
        <v>22</v>
      </c>
      <c r="P51" s="64">
        <f>IF('5.R&amp;D '!M10&lt;&gt;"",'5.R&amp;D '!M10,"")</f>
        <v>27.5</v>
      </c>
      <c r="Q51" s="64">
        <f>IF('5.R&amp;D '!N10&lt;&gt;"",'5.R&amp;D '!N10,"")</f>
        <v>33</v>
      </c>
      <c r="R51" s="64">
        <f>IF('5.R&amp;D '!O10&lt;&gt;"",'5.R&amp;D '!O10,"")</f>
        <v>38.5</v>
      </c>
      <c r="S51" s="64">
        <f>IF('5.R&amp;D '!P10&lt;&gt;"",'5.R&amp;D '!P10,"")</f>
        <v>44</v>
      </c>
      <c r="T51" s="64">
        <f>IF('5.R&amp;D '!Q10&lt;&gt;"",'5.R&amp;D '!Q10,"")</f>
        <v>49.5</v>
      </c>
      <c r="U51" s="64">
        <f>IF('5.R&amp;D '!R10&lt;&gt;"",'5.R&amp;D '!R10,"")</f>
        <v>55</v>
      </c>
      <c r="V51" s="64">
        <f>IF('5.R&amp;D '!S10&lt;&gt;"",'5.R&amp;D '!S10,"")</f>
        <v>60.5</v>
      </c>
      <c r="W51" s="81">
        <f>IF('5.R&amp;D '!T10&lt;&gt;"",'5.R&amp;D '!T10,"")</f>
        <v>67</v>
      </c>
      <c r="X51" s="405"/>
      <c r="Y51" s="405"/>
      <c r="Z51" s="405"/>
      <c r="AA51" s="405"/>
    </row>
    <row r="52" spans="1:27" s="53" customFormat="1" ht="18" customHeight="1" thickBot="1">
      <c r="A52" s="392"/>
      <c r="B52" s="392"/>
      <c r="C52" s="408"/>
      <c r="D52" s="388"/>
      <c r="E52" s="408"/>
      <c r="F52" s="429"/>
      <c r="G52" s="429"/>
      <c r="H52" s="429"/>
      <c r="I52" s="408"/>
      <c r="J52" s="408"/>
      <c r="K52" s="54" t="s">
        <v>30</v>
      </c>
      <c r="L52" s="63">
        <f>IF('5.R&amp;D '!I11&lt;&gt;"",'5.R&amp;D '!I11,"")</f>
        <v>9</v>
      </c>
      <c r="M52" s="63">
        <f>IF('5.R&amp;D '!J11&lt;&gt;"",'5.R&amp;D '!J11,"")</f>
        <v>17.3</v>
      </c>
      <c r="N52" s="63">
        <f>IF('5.R&amp;D '!K11&lt;&gt;"",'5.R&amp;D '!K11,"")</f>
        <v>24.6</v>
      </c>
      <c r="O52" s="63">
        <f>IF('5.R&amp;D '!L11&lt;&gt;"",'5.R&amp;D '!L11,"")</f>
        <v>26.3</v>
      </c>
      <c r="P52" s="63">
        <f>IF('5.R&amp;D '!M11&lt;&gt;"",'5.R&amp;D '!M11,"")</f>
        <v>31</v>
      </c>
      <c r="Q52" s="63">
        <f>IF('5.R&amp;D '!N11&lt;&gt;"",'5.R&amp;D '!N11,"")</f>
        <v>37.299999999999997</v>
      </c>
      <c r="R52" s="63">
        <f>IF('5.R&amp;D '!O11&lt;&gt;"",'5.R&amp;D '!O11,"")</f>
        <v>49.7</v>
      </c>
      <c r="S52" s="63">
        <f>IF('5.R&amp;D '!P11&lt;&gt;"",'5.R&amp;D '!P11,"")</f>
        <v>51.9</v>
      </c>
      <c r="T52" s="63" t="str">
        <f>IF('5.R&amp;D '!Q11&lt;&gt;"",'5.R&amp;D '!Q11,"")</f>
        <v/>
      </c>
      <c r="U52" s="63" t="str">
        <f>IF('5.R&amp;D '!R11&lt;&gt;"",'5.R&amp;D '!R11,"")</f>
        <v/>
      </c>
      <c r="V52" s="63" t="str">
        <f>IF('5.R&amp;D '!S11&lt;&gt;"",'5.R&amp;D '!S11,"")</f>
        <v/>
      </c>
      <c r="W52" s="82" t="str">
        <f>IF('5.R&amp;D '!T11&lt;&gt;"",'5.R&amp;D '!T11,"")</f>
        <v/>
      </c>
      <c r="X52" s="405"/>
      <c r="Y52" s="405"/>
      <c r="Z52" s="405"/>
      <c r="AA52" s="405"/>
    </row>
    <row r="53" spans="1:27" s="53" customFormat="1" ht="17.850000000000001" customHeight="1" thickBot="1">
      <c r="A53" s="392"/>
      <c r="B53" s="392"/>
      <c r="C53" s="427" t="e">
        <f>IF(#REF!&lt;&gt;"",#REF!,"")</f>
        <v>#REF!</v>
      </c>
      <c r="D53" s="388" t="s">
        <v>39</v>
      </c>
      <c r="E53" s="408" t="e">
        <f>IF(#REF!&lt;&gt;"",#REF!,"")</f>
        <v>#REF!</v>
      </c>
      <c r="F53" s="429" t="e">
        <f>IF(#REF!&lt;&gt;"",#REF!,"")</f>
        <v>#REF!</v>
      </c>
      <c r="G53" s="429" t="e">
        <f>IF(#REF!&lt;&gt;"",#REF!,"")</f>
        <v>#REF!</v>
      </c>
      <c r="H53" s="429" t="e">
        <f>IF(#REF!&lt;&gt;"",#REF!,"")</f>
        <v>#REF!</v>
      </c>
      <c r="I53" s="408" t="e">
        <f>IF(#REF!&lt;&gt;"",#REF!,"")</f>
        <v>#REF!</v>
      </c>
      <c r="J53" s="408" t="e">
        <f>IF(#REF!&lt;&gt;"",#REF!,"")</f>
        <v>#REF!</v>
      </c>
      <c r="K53" s="54" t="s">
        <v>29</v>
      </c>
      <c r="L53" s="55" t="e">
        <f>IF(#REF!&lt;&gt;"",#REF!,"")</f>
        <v>#REF!</v>
      </c>
      <c r="M53" s="55" t="e">
        <f>IF(#REF!&lt;&gt;"",#REF!,"")</f>
        <v>#REF!</v>
      </c>
      <c r="N53" s="55" t="e">
        <f>IF(#REF!&lt;&gt;"",#REF!,"")</f>
        <v>#REF!</v>
      </c>
      <c r="O53" s="55" t="e">
        <f>IF(#REF!&lt;&gt;"",#REF!,"")</f>
        <v>#REF!</v>
      </c>
      <c r="P53" s="55" t="e">
        <f>IF(#REF!&lt;&gt;"",#REF!,"")</f>
        <v>#REF!</v>
      </c>
      <c r="Q53" s="55" t="e">
        <f>IF(#REF!&lt;&gt;"",#REF!,"")</f>
        <v>#REF!</v>
      </c>
      <c r="R53" s="55" t="e">
        <f>IF(#REF!&lt;&gt;"",#REF!,"")</f>
        <v>#REF!</v>
      </c>
      <c r="S53" s="55" t="e">
        <f>IF(#REF!&lt;&gt;"",#REF!,"")</f>
        <v>#REF!</v>
      </c>
      <c r="T53" s="55" t="e">
        <f>IF(#REF!&lt;&gt;"",#REF!,"")</f>
        <v>#REF!</v>
      </c>
      <c r="U53" s="55" t="e">
        <f>IF(#REF!&lt;&gt;"",#REF!,"")</f>
        <v>#REF!</v>
      </c>
      <c r="V53" s="55" t="e">
        <f>IF(#REF!&lt;&gt;"",#REF!,"")</f>
        <v>#REF!</v>
      </c>
      <c r="W53" s="83" t="e">
        <f>IF(#REF!&lt;&gt;"",#REF!,"")</f>
        <v>#REF!</v>
      </c>
      <c r="X53" s="405"/>
      <c r="Y53" s="405"/>
      <c r="Z53" s="405"/>
      <c r="AA53" s="405"/>
    </row>
    <row r="54" spans="1:27" s="53" customFormat="1" ht="17.850000000000001" customHeight="1" thickBot="1">
      <c r="A54" s="392"/>
      <c r="B54" s="392"/>
      <c r="C54" s="427"/>
      <c r="D54" s="388"/>
      <c r="E54" s="408"/>
      <c r="F54" s="429"/>
      <c r="G54" s="429"/>
      <c r="H54" s="429"/>
      <c r="I54" s="408"/>
      <c r="J54" s="408"/>
      <c r="K54" s="54" t="s">
        <v>30</v>
      </c>
      <c r="L54" s="56" t="e">
        <f>IF(#REF!&lt;&gt;"",#REF!,"")</f>
        <v>#REF!</v>
      </c>
      <c r="M54" s="56" t="e">
        <f>IF(#REF!&lt;&gt;"",#REF!,"")</f>
        <v>#REF!</v>
      </c>
      <c r="N54" s="56" t="e">
        <f>IF(#REF!&lt;&gt;"",#REF!,"")</f>
        <v>#REF!</v>
      </c>
      <c r="O54" s="56" t="e">
        <f>IF(#REF!&lt;&gt;"",#REF!,"")</f>
        <v>#REF!</v>
      </c>
      <c r="P54" s="56" t="e">
        <f>IF(#REF!&lt;&gt;"",#REF!,"")</f>
        <v>#REF!</v>
      </c>
      <c r="Q54" s="56" t="e">
        <f>IF(#REF!&lt;&gt;"",#REF!,"")</f>
        <v>#REF!</v>
      </c>
      <c r="R54" s="56" t="e">
        <f>IF(#REF!&lt;&gt;"",#REF!,"")</f>
        <v>#REF!</v>
      </c>
      <c r="S54" s="56" t="e">
        <f>IF(#REF!&lt;&gt;"",#REF!,"")</f>
        <v>#REF!</v>
      </c>
      <c r="T54" s="56" t="e">
        <f>IF(#REF!&lt;&gt;"",#REF!,"")</f>
        <v>#REF!</v>
      </c>
      <c r="U54" s="56" t="e">
        <f>IF(#REF!&lt;&gt;"",#REF!,"")</f>
        <v>#REF!</v>
      </c>
      <c r="V54" s="56" t="e">
        <f>IF(#REF!&lt;&gt;"",#REF!,"")</f>
        <v>#REF!</v>
      </c>
      <c r="W54" s="84" t="e">
        <f>IF(#REF!&lt;&gt;"",#REF!,"")</f>
        <v>#REF!</v>
      </c>
      <c r="X54" s="405"/>
      <c r="Y54" s="405"/>
      <c r="Z54" s="405"/>
      <c r="AA54" s="405"/>
    </row>
    <row r="55" spans="1:27" s="53" customFormat="1" ht="17.850000000000001" customHeight="1" thickBot="1">
      <c r="A55" s="392"/>
      <c r="B55" s="392"/>
      <c r="C55" s="427" t="e">
        <f>IF(#REF!&lt;&gt;"",#REF!,"")</f>
        <v>#REF!</v>
      </c>
      <c r="D55" s="388" t="s">
        <v>39</v>
      </c>
      <c r="E55" s="408" t="e">
        <f>IF(#REF!&lt;&gt;"",#REF!,"")</f>
        <v>#REF!</v>
      </c>
      <c r="F55" s="429" t="e">
        <f>IF(#REF!&lt;&gt;"",#REF!,"")</f>
        <v>#REF!</v>
      </c>
      <c r="G55" s="429" t="e">
        <f>IF(#REF!&lt;&gt;"",#REF!,"")</f>
        <v>#REF!</v>
      </c>
      <c r="H55" s="429" t="e">
        <f>IF(#REF!&lt;&gt;"",#REF!,"")</f>
        <v>#REF!</v>
      </c>
      <c r="I55" s="408" t="e">
        <f>IF(#REF!&lt;&gt;"",#REF!,"")</f>
        <v>#REF!</v>
      </c>
      <c r="J55" s="408" t="e">
        <f>IF(#REF!&lt;&gt;"",#REF!,"")</f>
        <v>#REF!</v>
      </c>
      <c r="K55" s="54" t="s">
        <v>29</v>
      </c>
      <c r="L55" s="64" t="e">
        <f>IF(#REF!&lt;&gt;"",#REF!,"")</f>
        <v>#REF!</v>
      </c>
      <c r="M55" s="64" t="e">
        <f>IF(#REF!&lt;&gt;"",#REF!,"")</f>
        <v>#REF!</v>
      </c>
      <c r="N55" s="64" t="e">
        <f>IF(#REF!&lt;&gt;"",#REF!,"")</f>
        <v>#REF!</v>
      </c>
      <c r="O55" s="64" t="e">
        <f>IF(#REF!&lt;&gt;"",#REF!,"")</f>
        <v>#REF!</v>
      </c>
      <c r="P55" s="64" t="e">
        <f>IF(#REF!&lt;&gt;"",#REF!,"")</f>
        <v>#REF!</v>
      </c>
      <c r="Q55" s="64" t="e">
        <f>IF(#REF!&lt;&gt;"",#REF!,"")</f>
        <v>#REF!</v>
      </c>
      <c r="R55" s="64" t="e">
        <f>IF(#REF!&lt;&gt;"",#REF!,"")</f>
        <v>#REF!</v>
      </c>
      <c r="S55" s="64" t="e">
        <f>IF(#REF!&lt;&gt;"",#REF!,"")</f>
        <v>#REF!</v>
      </c>
      <c r="T55" s="64" t="e">
        <f>IF(#REF!&lt;&gt;"",#REF!,"")</f>
        <v>#REF!</v>
      </c>
      <c r="U55" s="64" t="e">
        <f>IF(#REF!&lt;&gt;"",#REF!,"")</f>
        <v>#REF!</v>
      </c>
      <c r="V55" s="64" t="e">
        <f>IF(#REF!&lt;&gt;"",#REF!,"")</f>
        <v>#REF!</v>
      </c>
      <c r="W55" s="81" t="e">
        <f>IF(#REF!&lt;&gt;"",#REF!,"")</f>
        <v>#REF!</v>
      </c>
      <c r="X55" s="405"/>
      <c r="Y55" s="405"/>
      <c r="Z55" s="405"/>
      <c r="AA55" s="405"/>
    </row>
    <row r="56" spans="1:27" s="53" customFormat="1" ht="17.850000000000001" customHeight="1" thickBot="1">
      <c r="A56" s="392"/>
      <c r="B56" s="392"/>
      <c r="C56" s="427"/>
      <c r="D56" s="388"/>
      <c r="E56" s="408"/>
      <c r="F56" s="429"/>
      <c r="G56" s="429"/>
      <c r="H56" s="429"/>
      <c r="I56" s="408"/>
      <c r="J56" s="408"/>
      <c r="K56" s="54" t="s">
        <v>30</v>
      </c>
      <c r="L56" s="63" t="e">
        <f>IF(#REF!&lt;&gt;"",#REF!,"")</f>
        <v>#REF!</v>
      </c>
      <c r="M56" s="63" t="e">
        <f>IF(#REF!&lt;&gt;"",#REF!,"")</f>
        <v>#REF!</v>
      </c>
      <c r="N56" s="63" t="e">
        <f>IF(#REF!&lt;&gt;"",#REF!,"")</f>
        <v>#REF!</v>
      </c>
      <c r="O56" s="63" t="e">
        <f>IF(#REF!&lt;&gt;"",#REF!,"")</f>
        <v>#REF!</v>
      </c>
      <c r="P56" s="63" t="e">
        <f>IF(#REF!&lt;&gt;"",#REF!,"")</f>
        <v>#REF!</v>
      </c>
      <c r="Q56" s="63" t="e">
        <f>IF(#REF!&lt;&gt;"",#REF!,"")</f>
        <v>#REF!</v>
      </c>
      <c r="R56" s="63" t="e">
        <f>IF(#REF!&lt;&gt;"",#REF!,"")</f>
        <v>#REF!</v>
      </c>
      <c r="S56" s="63" t="e">
        <f>IF(#REF!&lt;&gt;"",#REF!,"")</f>
        <v>#REF!</v>
      </c>
      <c r="T56" s="63" t="e">
        <f>IF(#REF!&lt;&gt;"",#REF!,"")</f>
        <v>#REF!</v>
      </c>
      <c r="U56" s="63" t="e">
        <f>IF(#REF!&lt;&gt;"",#REF!,"")</f>
        <v>#REF!</v>
      </c>
      <c r="V56" s="63" t="e">
        <f>IF(#REF!&lt;&gt;"",#REF!,"")</f>
        <v>#REF!</v>
      </c>
      <c r="W56" s="82" t="e">
        <f>IF(#REF!&lt;&gt;"",#REF!,"")</f>
        <v>#REF!</v>
      </c>
      <c r="X56" s="405"/>
      <c r="Y56" s="405"/>
      <c r="Z56" s="405"/>
      <c r="AA56" s="405"/>
    </row>
    <row r="57" spans="1:27" s="53" customFormat="1" ht="18" customHeight="1" thickBot="1">
      <c r="A57" s="392"/>
      <c r="B57" s="392"/>
      <c r="C57" s="427" t="e">
        <f>IF(#REF!&lt;&gt;"",#REF!,"")</f>
        <v>#REF!</v>
      </c>
      <c r="D57" s="388" t="s">
        <v>39</v>
      </c>
      <c r="E57" s="408" t="e">
        <f>IF(#REF!&lt;&gt;"",#REF!,"")</f>
        <v>#REF!</v>
      </c>
      <c r="F57" s="429" t="e">
        <f>IF(#REF!&lt;&gt;"",#REF!,"")</f>
        <v>#REF!</v>
      </c>
      <c r="G57" s="429" t="e">
        <f>IF(#REF!&lt;&gt;"",#REF!,"")</f>
        <v>#REF!</v>
      </c>
      <c r="H57" s="429" t="e">
        <f>IF(#REF!&lt;&gt;"",#REF!,"")</f>
        <v>#REF!</v>
      </c>
      <c r="I57" s="408" t="e">
        <f>IF(#REF!&lt;&gt;"",#REF!,"")</f>
        <v>#REF!</v>
      </c>
      <c r="J57" s="408" t="e">
        <f>IF(#REF!&lt;&gt;"",#REF!,"")</f>
        <v>#REF!</v>
      </c>
      <c r="K57" s="54" t="s">
        <v>29</v>
      </c>
      <c r="L57" s="64" t="e">
        <f>IF(#REF!&lt;&gt;"",#REF!,"")</f>
        <v>#REF!</v>
      </c>
      <c r="M57" s="64" t="e">
        <f>IF(#REF!&lt;&gt;"",#REF!,"")</f>
        <v>#REF!</v>
      </c>
      <c r="N57" s="64" t="e">
        <f>IF(#REF!&lt;&gt;"",#REF!,"")</f>
        <v>#REF!</v>
      </c>
      <c r="O57" s="64" t="e">
        <f>IF(#REF!&lt;&gt;"",#REF!,"")</f>
        <v>#REF!</v>
      </c>
      <c r="P57" s="64" t="e">
        <f>IF(#REF!&lt;&gt;"",#REF!,"")</f>
        <v>#REF!</v>
      </c>
      <c r="Q57" s="64" t="e">
        <f>IF(#REF!&lt;&gt;"",#REF!,"")</f>
        <v>#REF!</v>
      </c>
      <c r="R57" s="64" t="e">
        <f>IF(#REF!&lt;&gt;"",#REF!,"")</f>
        <v>#REF!</v>
      </c>
      <c r="S57" s="64" t="e">
        <f>IF(#REF!&lt;&gt;"",#REF!,"")</f>
        <v>#REF!</v>
      </c>
      <c r="T57" s="64" t="e">
        <f>IF(#REF!&lt;&gt;"",#REF!,"")</f>
        <v>#REF!</v>
      </c>
      <c r="U57" s="64" t="e">
        <f>IF(#REF!&lt;&gt;"",#REF!,"")</f>
        <v>#REF!</v>
      </c>
      <c r="V57" s="64" t="e">
        <f>IF(#REF!&lt;&gt;"",#REF!,"")</f>
        <v>#REF!</v>
      </c>
      <c r="W57" s="81" t="e">
        <f>IF(#REF!&lt;&gt;"",#REF!,"")</f>
        <v>#REF!</v>
      </c>
      <c r="X57" s="405"/>
      <c r="Y57" s="405"/>
      <c r="Z57" s="405"/>
      <c r="AA57" s="405"/>
    </row>
    <row r="58" spans="1:27" s="53" customFormat="1" ht="17.850000000000001" customHeight="1" thickBot="1">
      <c r="A58" s="392"/>
      <c r="B58" s="392"/>
      <c r="C58" s="427"/>
      <c r="D58" s="388"/>
      <c r="E58" s="408"/>
      <c r="F58" s="429"/>
      <c r="G58" s="429"/>
      <c r="H58" s="429"/>
      <c r="I58" s="408"/>
      <c r="J58" s="408"/>
      <c r="K58" s="54" t="s">
        <v>30</v>
      </c>
      <c r="L58" s="63" t="e">
        <f>IF(#REF!&lt;&gt;"",#REF!,"")</f>
        <v>#REF!</v>
      </c>
      <c r="M58" s="63" t="e">
        <f>IF(#REF!&lt;&gt;"",#REF!,"")</f>
        <v>#REF!</v>
      </c>
      <c r="N58" s="63" t="e">
        <f>IF(#REF!&lt;&gt;"",#REF!,"")</f>
        <v>#REF!</v>
      </c>
      <c r="O58" s="63" t="e">
        <f>IF(#REF!&lt;&gt;"",#REF!,"")</f>
        <v>#REF!</v>
      </c>
      <c r="P58" s="63" t="e">
        <f>IF(#REF!&lt;&gt;"",#REF!,"")</f>
        <v>#REF!</v>
      </c>
      <c r="Q58" s="63" t="e">
        <f>IF(#REF!&lt;&gt;"",#REF!,"")</f>
        <v>#REF!</v>
      </c>
      <c r="R58" s="63" t="e">
        <f>IF(#REF!&lt;&gt;"",#REF!,"")</f>
        <v>#REF!</v>
      </c>
      <c r="S58" s="63" t="e">
        <f>IF(#REF!&lt;&gt;"",#REF!,"")</f>
        <v>#REF!</v>
      </c>
      <c r="T58" s="63" t="e">
        <f>IF(#REF!&lt;&gt;"",#REF!,"")</f>
        <v>#REF!</v>
      </c>
      <c r="U58" s="63" t="e">
        <f>IF(#REF!&lt;&gt;"",#REF!,"")</f>
        <v>#REF!</v>
      </c>
      <c r="V58" s="63" t="e">
        <f>IF(#REF!&lt;&gt;"",#REF!,"")</f>
        <v>#REF!</v>
      </c>
      <c r="W58" s="82" t="e">
        <f>IF(#REF!&lt;&gt;"",#REF!,"")</f>
        <v>#REF!</v>
      </c>
      <c r="X58" s="405"/>
      <c r="Y58" s="405"/>
      <c r="Z58" s="405"/>
      <c r="AA58" s="405"/>
    </row>
    <row r="59" spans="1:27" s="53" customFormat="1" ht="14.85" customHeight="1">
      <c r="A59" s="392" t="s">
        <v>40</v>
      </c>
      <c r="B59" s="393"/>
      <c r="C59" s="408" t="str">
        <f>IF('3.ISC '!A6&lt;&gt;"",'3.ISC '!A6,"")</f>
        <v xml:space="preserve">Sales </v>
      </c>
      <c r="D59" s="386" t="s">
        <v>41</v>
      </c>
      <c r="E59" s="408" t="str">
        <f>IF('3.ISC '!B6&lt;&gt;"",'3.ISC '!B6,"")</f>
        <v>Revenue in M</v>
      </c>
      <c r="F59" s="429" t="str">
        <f>IF('3.ISC '!C6&lt;&gt;"",'3.ISC '!C6,"")</f>
        <v>&gt;</v>
      </c>
      <c r="G59" s="429" t="str">
        <f>IF('3.ISC '!D6&lt;&gt;"",'3.ISC '!D6,"")</f>
        <v>141/143</v>
      </c>
      <c r="H59" s="429" t="str">
        <f>IF('3.ISC '!E6&lt;&gt;"",'3.ISC '!E6,"")</f>
        <v>Mn</v>
      </c>
      <c r="I59" s="408" t="str">
        <f>IF('3.ISC '!F6&lt;&gt;"",'3.ISC '!F6,"")</f>
        <v>Higher the better</v>
      </c>
      <c r="J59" s="408" t="str">
        <f>IF('3.ISC '!G6&lt;&gt;"",'3.ISC '!G6,"")</f>
        <v>Monthly</v>
      </c>
      <c r="K59" s="54" t="s">
        <v>29</v>
      </c>
      <c r="L59" s="64">
        <f>IF('3.ISC '!I6&lt;&gt;"",'3.ISC '!I6,"")</f>
        <v>8.6903064699999995</v>
      </c>
      <c r="M59" s="64">
        <f>IF('3.ISC '!J6&lt;&gt;"",'3.ISC '!J6,"")</f>
        <v>14.05719274</v>
      </c>
      <c r="N59" s="64">
        <f>IF('3.ISC '!K6&lt;&gt;"",'3.ISC '!K6,"")</f>
        <v>24.179072239999996</v>
      </c>
      <c r="O59" s="64">
        <f>IF('3.ISC '!L6&lt;&gt;"",'3.ISC '!L6,"")</f>
        <v>33.551325879999993</v>
      </c>
      <c r="P59" s="64">
        <f>IF('3.ISC '!M6&lt;&gt;"",'3.ISC '!M6,"")</f>
        <v>41.442863629999991</v>
      </c>
      <c r="Q59" s="64">
        <f>IF('3.ISC '!N6&lt;&gt;"",'3.ISC '!N6,"")</f>
        <v>60.823992749999988</v>
      </c>
      <c r="R59" s="64">
        <f>IF('3.ISC '!O6&lt;&gt;"",'3.ISC '!O6,"")</f>
        <v>72.557892079999988</v>
      </c>
      <c r="S59" s="64">
        <f>IF('3.ISC '!P6&lt;&gt;"",'3.ISC '!P6,"")</f>
        <v>82.449740689999985</v>
      </c>
      <c r="T59" s="64">
        <f>IF('3.ISC '!Q6&lt;&gt;"",'3.ISC '!Q6,"")</f>
        <v>97.41708853999998</v>
      </c>
      <c r="U59" s="64">
        <f>IF('3.ISC '!R6&lt;&gt;"",'3.ISC '!R6,"")</f>
        <v>109.99426815999998</v>
      </c>
      <c r="V59" s="64">
        <f>IF('3.ISC '!S6&lt;&gt;"",'3.ISC '!S6,"")</f>
        <v>123.71139688999997</v>
      </c>
      <c r="W59" s="81">
        <f>IF('3.ISC '!T6&lt;&gt;"",'3.ISC '!T6,"")</f>
        <v>144.52878536999998</v>
      </c>
      <c r="X59" s="405"/>
      <c r="Y59" s="405"/>
      <c r="Z59" s="405"/>
      <c r="AA59" s="405"/>
    </row>
    <row r="60" spans="1:27" s="53" customFormat="1" ht="14.85" customHeight="1">
      <c r="A60" s="394"/>
      <c r="B60" s="395"/>
      <c r="C60" s="408"/>
      <c r="D60" s="387"/>
      <c r="E60" s="408"/>
      <c r="F60" s="429"/>
      <c r="G60" s="429"/>
      <c r="H60" s="429"/>
      <c r="I60" s="408"/>
      <c r="J60" s="408"/>
      <c r="K60" s="54" t="s">
        <v>30</v>
      </c>
      <c r="L60" s="63">
        <f>IF('3.ISC '!I7&lt;&gt;"",'3.ISC '!I7,"")</f>
        <v>4.0999999999999996</v>
      </c>
      <c r="M60" s="63">
        <f>IF('3.ISC '!J7&lt;&gt;"",'3.ISC '!J7,"")</f>
        <v>9.8000000000000007</v>
      </c>
      <c r="N60" s="63">
        <f>IF('3.ISC '!K7&lt;&gt;"",'3.ISC '!K7,"")</f>
        <v>25.3</v>
      </c>
      <c r="O60" s="63">
        <f>IF('3.ISC '!L7&lt;&gt;"",'3.ISC '!L7,"")</f>
        <v>31.44</v>
      </c>
      <c r="P60" s="63">
        <f>IF('3.ISC '!M7&lt;&gt;"",'3.ISC '!M7,"")</f>
        <v>40.9</v>
      </c>
      <c r="Q60" s="63">
        <f>IF('3.ISC '!N7&lt;&gt;"",'3.ISC '!N7,"")</f>
        <v>55.18</v>
      </c>
      <c r="R60" s="63">
        <f>IF('3.ISC '!O7&lt;&gt;"",'3.ISC '!O7,"")</f>
        <v>61.4</v>
      </c>
      <c r="S60" s="63" t="str">
        <f>IF('3.ISC '!P7&lt;&gt;"",'3.ISC '!P7,"")</f>
        <v/>
      </c>
      <c r="T60" s="63" t="str">
        <f>IF('3.ISC '!Q7&lt;&gt;"",'3.ISC '!Q7,"")</f>
        <v/>
      </c>
      <c r="U60" s="63" t="str">
        <f>IF('3.ISC '!R7&lt;&gt;"",'3.ISC '!R7,"")</f>
        <v/>
      </c>
      <c r="V60" s="63" t="str">
        <f>IF('3.ISC '!S7&lt;&gt;"",'3.ISC '!S7,"")</f>
        <v/>
      </c>
      <c r="W60" s="82" t="str">
        <f>IF('3.ISC '!T7&lt;&gt;"",'3.ISC '!T7,"")</f>
        <v/>
      </c>
      <c r="X60" s="405"/>
      <c r="Y60" s="405"/>
      <c r="Z60" s="405"/>
      <c r="AA60" s="405"/>
    </row>
    <row r="61" spans="1:27" s="53" customFormat="1" ht="14.85" customHeight="1">
      <c r="A61" s="394"/>
      <c r="B61" s="395"/>
      <c r="C61" s="408" t="str">
        <f>IF('3.ISC '!A8&lt;&gt;"",'3.ISC '!A8,"")</f>
        <v>OTIF</v>
      </c>
      <c r="D61" s="386" t="s">
        <v>41</v>
      </c>
      <c r="E61" s="408" t="str">
        <f>IF('3.ISC '!B8&lt;&gt;"",'3.ISC '!B8,"")</f>
        <v>CDD adherance</v>
      </c>
      <c r="F61" s="429" t="str">
        <f>IF('3.ISC '!C8&lt;&gt;"",'3.ISC '!C8,"")</f>
        <v>&gt;</v>
      </c>
      <c r="G61" s="429">
        <f>IF('3.ISC '!D8&lt;&gt;"",'3.ISC '!D8,"")</f>
        <v>0.85</v>
      </c>
      <c r="H61" s="429" t="str">
        <f>IF('3.ISC '!E8&lt;&gt;"",'3.ISC '!E8,"")</f>
        <v>%</v>
      </c>
      <c r="I61" s="408" t="str">
        <f>IF('3.ISC '!F8&lt;&gt;"",'3.ISC '!F8,"")</f>
        <v>Higher the better</v>
      </c>
      <c r="J61" s="408" t="str">
        <f>IF('3.ISC '!G8&lt;&gt;"",'3.ISC '!G8,"")</f>
        <v>Monthly</v>
      </c>
      <c r="K61" s="54" t="s">
        <v>29</v>
      </c>
      <c r="L61" s="64">
        <f>IF('3.ISC '!I8&lt;&gt;"",'3.ISC '!I8,"")</f>
        <v>0.69</v>
      </c>
      <c r="M61" s="64">
        <f>IF('3.ISC '!J8&lt;&gt;"",'3.ISC '!J8,"")</f>
        <v>0.69</v>
      </c>
      <c r="N61" s="64">
        <f>IF('3.ISC '!K8&lt;&gt;"",'3.ISC '!K8,"")</f>
        <v>0.69</v>
      </c>
      <c r="O61" s="64">
        <f>IF('3.ISC '!L8&lt;&gt;"",'3.ISC '!L8,"")</f>
        <v>0.72</v>
      </c>
      <c r="P61" s="64">
        <f>IF('3.ISC '!M8&lt;&gt;"",'3.ISC '!M8,"")</f>
        <v>0.72</v>
      </c>
      <c r="Q61" s="64">
        <f>IF('3.ISC '!N8&lt;&gt;"",'3.ISC '!N8,"")</f>
        <v>0.72</v>
      </c>
      <c r="R61" s="64">
        <f>IF('3.ISC '!O8&lt;&gt;"",'3.ISC '!O8,"")</f>
        <v>0.74</v>
      </c>
      <c r="S61" s="64">
        <f>IF('3.ISC '!P8&lt;&gt;"",'3.ISC '!P8,"")</f>
        <v>0.74</v>
      </c>
      <c r="T61" s="64">
        <f>IF('3.ISC '!Q8&lt;&gt;"",'3.ISC '!Q8,"")</f>
        <v>0.74</v>
      </c>
      <c r="U61" s="64">
        <f>IF('3.ISC '!R8&lt;&gt;"",'3.ISC '!R8,"")</f>
        <v>0.77</v>
      </c>
      <c r="V61" s="64">
        <f>IF('3.ISC '!S8&lt;&gt;"",'3.ISC '!S8,"")</f>
        <v>0.77</v>
      </c>
      <c r="W61" s="81">
        <f>IF('3.ISC '!T8&lt;&gt;"",'3.ISC '!T8,"")</f>
        <v>0.8</v>
      </c>
      <c r="X61" s="405"/>
      <c r="Y61" s="405"/>
      <c r="Z61" s="405"/>
      <c r="AA61" s="405"/>
    </row>
    <row r="62" spans="1:27" s="53" customFormat="1" ht="14.85" customHeight="1">
      <c r="A62" s="394"/>
      <c r="B62" s="395"/>
      <c r="C62" s="408"/>
      <c r="D62" s="387"/>
      <c r="E62" s="408"/>
      <c r="F62" s="429"/>
      <c r="G62" s="429"/>
      <c r="H62" s="429"/>
      <c r="I62" s="408"/>
      <c r="J62" s="408"/>
      <c r="K62" s="54" t="s">
        <v>30</v>
      </c>
      <c r="L62" s="63">
        <f>IF('3.ISC '!I9&lt;&gt;"",'3.ISC '!I9,"")</f>
        <v>0.83</v>
      </c>
      <c r="M62" s="63">
        <f>IF('3.ISC '!J9&lt;&gt;"",'3.ISC '!J9,"")</f>
        <v>0.82</v>
      </c>
      <c r="N62" s="63">
        <f>IF('3.ISC '!K9&lt;&gt;"",'3.ISC '!K9,"")</f>
        <v>0.81</v>
      </c>
      <c r="O62" s="63">
        <f>IF('3.ISC '!L9&lt;&gt;"",'3.ISC '!L9,"")</f>
        <v>0.6</v>
      </c>
      <c r="P62" s="63">
        <f>IF('3.ISC '!M9&lt;&gt;"",'3.ISC '!M9,"")</f>
        <v>0.87</v>
      </c>
      <c r="Q62" s="63">
        <f>IF('3.ISC '!N9&lt;&gt;"",'3.ISC '!N9,"")</f>
        <v>0.77</v>
      </c>
      <c r="R62" s="63">
        <f>IF('3.ISC '!O9&lt;&gt;"",'3.ISC '!O9,"")</f>
        <v>0.7</v>
      </c>
      <c r="S62" s="63" t="str">
        <f>IF('3.ISC '!P9&lt;&gt;"",'3.ISC '!P9,"")</f>
        <v/>
      </c>
      <c r="T62" s="63" t="str">
        <f>IF('3.ISC '!Q9&lt;&gt;"",'3.ISC '!Q9,"")</f>
        <v/>
      </c>
      <c r="U62" s="63" t="str">
        <f>IF('3.ISC '!R9&lt;&gt;"",'3.ISC '!R9,"")</f>
        <v/>
      </c>
      <c r="V62" s="63" t="str">
        <f>IF('3.ISC '!S9&lt;&gt;"",'3.ISC '!S9,"")</f>
        <v/>
      </c>
      <c r="W62" s="82" t="str">
        <f>IF('3.ISC '!T9&lt;&gt;"",'3.ISC '!T9,"")</f>
        <v/>
      </c>
      <c r="X62" s="405"/>
      <c r="Y62" s="405"/>
      <c r="Z62" s="405"/>
      <c r="AA62" s="405"/>
    </row>
    <row r="63" spans="1:27" s="53" customFormat="1" ht="14.85" customHeight="1">
      <c r="A63" s="394"/>
      <c r="B63" s="395"/>
      <c r="C63" s="408" t="str">
        <f>IF('3.ISC '!A10&lt;&gt;"",'3.ISC '!A10,"")</f>
        <v>Inventory</v>
      </c>
      <c r="D63" s="386" t="s">
        <v>41</v>
      </c>
      <c r="E63" s="408" t="str">
        <f>IF('3.ISC '!B10&lt;&gt;"",'3.ISC '!B10,"")</f>
        <v>(Business+Market+Service ) as % of sales</v>
      </c>
      <c r="F63" s="429" t="str">
        <f>IF('3.ISC '!C10&lt;&gt;"",'3.ISC '!C10,"")</f>
        <v>&lt;</v>
      </c>
      <c r="G63" s="429" t="str">
        <f>IF('3.ISC '!D10&lt;&gt;"",'3.ISC '!D10,"")</f>
        <v>22% / 49 M</v>
      </c>
      <c r="H63" s="429" t="str">
        <f>IF('3.ISC '!E10&lt;&gt;"",'3.ISC '!E10,"")</f>
        <v>%</v>
      </c>
      <c r="I63" s="408" t="str">
        <f>IF('3.ISC '!F10&lt;&gt;"",'3.ISC '!F10,"")</f>
        <v>Lower the better</v>
      </c>
      <c r="J63" s="408" t="str">
        <f>IF('3.ISC '!G10&lt;&gt;"",'3.ISC '!G10,"")</f>
        <v>Monthly</v>
      </c>
      <c r="K63" s="54" t="s">
        <v>29</v>
      </c>
      <c r="L63" s="64">
        <f>IF('3.ISC '!I10&lt;&gt;"",'3.ISC '!I10,"")</f>
        <v>0.28299999999999997</v>
      </c>
      <c r="M63" s="64">
        <f>IF('3.ISC '!J10&lt;&gt;"",'3.ISC '!J10,"")</f>
        <v>0.28000000000000003</v>
      </c>
      <c r="N63" s="64">
        <f>IF('3.ISC '!K10&lt;&gt;"",'3.ISC '!K10,"")</f>
        <v>0.28999999999999998</v>
      </c>
      <c r="O63" s="64">
        <f>IF('3.ISC '!L10&lt;&gt;"",'3.ISC '!L10,"")</f>
        <v>0.28678379161961198</v>
      </c>
      <c r="P63" s="64">
        <f>IF('3.ISC '!M10&lt;&gt;"",'3.ISC '!M10,"")</f>
        <v>0.26777765895476646</v>
      </c>
      <c r="Q63" s="64">
        <f>IF('3.ISC '!N10&lt;&gt;"",'3.ISC '!N10,"")</f>
        <v>0.2586282144425282</v>
      </c>
      <c r="R63" s="64">
        <f>IF('3.ISC '!O10&lt;&gt;"",'3.ISC '!O10,"")</f>
        <v>0.24073532229081981</v>
      </c>
      <c r="S63" s="64">
        <f>IF('3.ISC '!P10&lt;&gt;"",'3.ISC '!P10,"")</f>
        <v>0.23371551800282125</v>
      </c>
      <c r="T63" s="64">
        <f>IF('3.ISC '!Q10&lt;&gt;"",'3.ISC '!Q10,"")</f>
        <v>0.2460353692294788</v>
      </c>
      <c r="U63" s="64">
        <f>IF('3.ISC '!R10&lt;&gt;"",'3.ISC '!R10,"")</f>
        <v>0.235680215161127</v>
      </c>
      <c r="V63" s="64">
        <f>IF('3.ISC '!S10&lt;&gt;"",'3.ISC '!S10,"")</f>
        <v>0.23414399382135143</v>
      </c>
      <c r="W63" s="81">
        <f>IF('3.ISC '!T10&lt;&gt;"",'3.ISC '!T10,"")</f>
        <v>0.21107105152264244</v>
      </c>
      <c r="X63" s="405"/>
      <c r="Y63" s="405"/>
      <c r="Z63" s="405"/>
      <c r="AA63" s="405"/>
    </row>
    <row r="64" spans="1:27" s="53" customFormat="1" ht="14.85" customHeight="1">
      <c r="A64" s="394"/>
      <c r="B64" s="395"/>
      <c r="C64" s="408"/>
      <c r="D64" s="387"/>
      <c r="E64" s="408"/>
      <c r="F64" s="429"/>
      <c r="G64" s="429"/>
      <c r="H64" s="429"/>
      <c r="I64" s="408"/>
      <c r="J64" s="408"/>
      <c r="K64" s="54" t="s">
        <v>30</v>
      </c>
      <c r="L64" s="63">
        <f>IF('3.ISC '!I11&lt;&gt;"",'3.ISC '!I11,"")</f>
        <v>0.27400000000000002</v>
      </c>
      <c r="M64" s="63">
        <f>IF('3.ISC '!J11&lt;&gt;"",'3.ISC '!J11,"")</f>
        <v>0.28999999999999998</v>
      </c>
      <c r="N64" s="63">
        <f>IF('3.ISC '!K11&lt;&gt;"",'3.ISC '!K11,"")</f>
        <v>0.28999999999999998</v>
      </c>
      <c r="O64" s="63">
        <f>IF('3.ISC '!L11&lt;&gt;"",'3.ISC '!L11,"")</f>
        <v>0.3</v>
      </c>
      <c r="P64" s="63">
        <f>IF('3.ISC '!M11&lt;&gt;"",'3.ISC '!M11,"")</f>
        <v>0.3</v>
      </c>
      <c r="Q64" s="63">
        <f>IF('3.ISC '!N11&lt;&gt;"",'3.ISC '!N11,"")</f>
        <v>0.28999999999999998</v>
      </c>
      <c r="R64" s="63">
        <f>IF('3.ISC '!O11&lt;&gt;"",'3.ISC '!O11,"")</f>
        <v>0.3</v>
      </c>
      <c r="S64" s="63" t="str">
        <f>IF('3.ISC '!P11&lt;&gt;"",'3.ISC '!P11,"")</f>
        <v/>
      </c>
      <c r="T64" s="63" t="str">
        <f>IF('3.ISC '!Q11&lt;&gt;"",'3.ISC '!Q11,"")</f>
        <v/>
      </c>
      <c r="U64" s="63" t="str">
        <f>IF('3.ISC '!R11&lt;&gt;"",'3.ISC '!R11,"")</f>
        <v/>
      </c>
      <c r="V64" s="63" t="str">
        <f>IF('3.ISC '!S11&lt;&gt;"",'3.ISC '!S11,"")</f>
        <v/>
      </c>
      <c r="W64" s="82" t="str">
        <f>IF('3.ISC '!T11&lt;&gt;"",'3.ISC '!T11,"")</f>
        <v/>
      </c>
      <c r="X64" s="405"/>
      <c r="Y64" s="405"/>
      <c r="Z64" s="405"/>
      <c r="AA64" s="405"/>
    </row>
    <row r="65" spans="1:27" s="53" customFormat="1" ht="14.45">
      <c r="A65" s="394"/>
      <c r="B65" s="395"/>
      <c r="C65" s="408" t="str">
        <f>IF('4.Procurement'!A6&lt;&gt;"",'4.Procurement'!A6,"")</f>
        <v>Productivity ( Nego)</v>
      </c>
      <c r="D65" s="386" t="s">
        <v>42</v>
      </c>
      <c r="E65" s="408" t="str">
        <f>IF('4.Procurement'!B6&lt;&gt;"",'4.Procurement'!B6,"")</f>
        <v>1% of Spend</v>
      </c>
      <c r="F65" s="429" t="str">
        <f>IF('4.Procurement'!C6&lt;&gt;"",'4.Procurement'!C6,"")</f>
        <v>&lt;=</v>
      </c>
      <c r="G65" s="429" t="str">
        <f>IF('4.Procurement'!D6&lt;&gt;"",'4.Procurement'!D6,"")</f>
        <v>0.4 M € 
0.7 M € Stretch</v>
      </c>
      <c r="H65" s="429" t="str">
        <f>IF('4.Procurement'!E6&lt;&gt;"",'4.Procurement'!E6,"")</f>
        <v>%</v>
      </c>
      <c r="I65" s="408" t="str">
        <f>IF('4.Procurement'!F6&lt;&gt;"",'4.Procurement'!F6,"")</f>
        <v>Higher the better</v>
      </c>
      <c r="J65" s="408" t="str">
        <f>IF('4.Procurement'!G6&lt;&gt;"",'4.Procurement'!G6,"")</f>
        <v>Monthly</v>
      </c>
      <c r="K65" s="54" t="s">
        <v>29</v>
      </c>
      <c r="L65" s="64">
        <f>IF('4.Procurement'!I6&lt;&gt;"",'4.Procurement'!I6,"")</f>
        <v>3.5000000000000003E-2</v>
      </c>
      <c r="M65" s="64">
        <f>IF('4.Procurement'!J6&lt;&gt;"",'4.Procurement'!J6,"")</f>
        <v>7.0000000000000007E-2</v>
      </c>
      <c r="N65" s="64">
        <f>IF('4.Procurement'!K6&lt;&gt;"",'4.Procurement'!K6,"")</f>
        <v>0.10500000000000001</v>
      </c>
      <c r="O65" s="64">
        <f>IF('4.Procurement'!L6&lt;&gt;"",'4.Procurement'!L6,"")</f>
        <v>0.14000000000000001</v>
      </c>
      <c r="P65" s="64">
        <f>IF('4.Procurement'!M6&lt;&gt;"",'4.Procurement'!M6,"")</f>
        <v>0.17500000000000002</v>
      </c>
      <c r="Q65" s="64">
        <f>IF('4.Procurement'!N6&lt;&gt;"",'4.Procurement'!N6,"")</f>
        <v>0.21000000000000002</v>
      </c>
      <c r="R65" s="64">
        <f>IF('4.Procurement'!O6&lt;&gt;"",'4.Procurement'!O6,"")</f>
        <v>0.23</v>
      </c>
      <c r="S65" s="64">
        <f>IF('4.Procurement'!P6&lt;&gt;"",'4.Procurement'!P6,"")</f>
        <v>0.26500000000000001</v>
      </c>
      <c r="T65" s="64">
        <f>IF('4.Procurement'!Q6&lt;&gt;"",'4.Procurement'!Q6,"")</f>
        <v>0.30000000000000004</v>
      </c>
      <c r="U65" s="64">
        <f>IF('4.Procurement'!R6&lt;&gt;"",'4.Procurement'!R6,"")</f>
        <v>0.33500000000000008</v>
      </c>
      <c r="V65" s="64">
        <f>IF('4.Procurement'!S6&lt;&gt;"",'4.Procurement'!S6,"")</f>
        <v>0.37000000000000011</v>
      </c>
      <c r="W65" s="81">
        <f>IF('4.Procurement'!T6&lt;&gt;"",'4.Procurement'!T6,"")</f>
        <v>0.4</v>
      </c>
      <c r="X65" s="405"/>
      <c r="Y65" s="405"/>
      <c r="Z65" s="405"/>
      <c r="AA65" s="405"/>
    </row>
    <row r="66" spans="1:27" s="53" customFormat="1" ht="14.45">
      <c r="A66" s="394"/>
      <c r="B66" s="395"/>
      <c r="C66" s="408"/>
      <c r="D66" s="387"/>
      <c r="E66" s="408"/>
      <c r="F66" s="429"/>
      <c r="G66" s="429"/>
      <c r="H66" s="429"/>
      <c r="I66" s="408"/>
      <c r="J66" s="408"/>
      <c r="K66" s="54" t="s">
        <v>30</v>
      </c>
      <c r="L66" s="63">
        <f>IF('4.Procurement'!I7&lt;&gt;"",'4.Procurement'!I7,"")</f>
        <v>2.0673E-2</v>
      </c>
      <c r="M66" s="63">
        <f>IF('4.Procurement'!J7&lt;&gt;"",'4.Procurement'!J7,"")</f>
        <v>5.8772000000000005E-2</v>
      </c>
      <c r="N66" s="63">
        <f>IF('4.Procurement'!K7&lt;&gt;"",'4.Procurement'!K7,"")</f>
        <v>0.105659</v>
      </c>
      <c r="O66" s="63">
        <f>IF('4.Procurement'!L7&lt;&gt;"",'4.Procurement'!L7,"")</f>
        <v>0.152422</v>
      </c>
      <c r="P66" s="63">
        <f>IF('4.Procurement'!M7&lt;&gt;"",'4.Procurement'!M7,"")</f>
        <v>0.19</v>
      </c>
      <c r="Q66" s="63">
        <f>IF('4.Procurement'!N7&lt;&gt;"",'4.Procurement'!N7,"")</f>
        <v>0.21</v>
      </c>
      <c r="R66" s="63">
        <f>IF('4.Procurement'!O7&lt;&gt;"",'4.Procurement'!O7,"")</f>
        <v>0.23</v>
      </c>
      <c r="S66" s="63" t="str">
        <f>IF('4.Procurement'!P7&lt;&gt;"",'4.Procurement'!P7,"")</f>
        <v/>
      </c>
      <c r="T66" s="63" t="str">
        <f>IF('4.Procurement'!Q7&lt;&gt;"",'4.Procurement'!Q7,"")</f>
        <v/>
      </c>
      <c r="U66" s="63" t="str">
        <f>IF('4.Procurement'!R7&lt;&gt;"",'4.Procurement'!R7,"")</f>
        <v/>
      </c>
      <c r="V66" s="63" t="str">
        <f>IF('4.Procurement'!S7&lt;&gt;"",'4.Procurement'!S7,"")</f>
        <v/>
      </c>
      <c r="W66" s="82" t="str">
        <f>IF('4.Procurement'!T7&lt;&gt;"",'4.Procurement'!T7,"")</f>
        <v/>
      </c>
      <c r="X66" s="405"/>
      <c r="Y66" s="405"/>
      <c r="Z66" s="405"/>
      <c r="AA66" s="405"/>
    </row>
    <row r="67" spans="1:27" s="53" customFormat="1" ht="14.45">
      <c r="A67" s="394"/>
      <c r="B67" s="395"/>
      <c r="C67" s="408" t="str">
        <f>IF('4.Procurement'!A8&lt;&gt;"",'4.Procurement'!A8,"")</f>
        <v>Material Availability (escalation)</v>
      </c>
      <c r="D67" s="386" t="s">
        <v>42</v>
      </c>
      <c r="E67" s="408" t="str">
        <f>IF('4.Procurement'!B8&lt;&gt;"",'4.Procurement'!B8,"")</f>
        <v>Clear to build material avaialbility</v>
      </c>
      <c r="F67" s="429" t="str">
        <f>IF('4.Procurement'!C8&lt;&gt;"",'4.Procurement'!C8,"")</f>
        <v>&gt;=</v>
      </c>
      <c r="G67" s="429">
        <f>IF('4.Procurement'!D8&lt;&gt;"",'4.Procurement'!D8,"")</f>
        <v>0.9</v>
      </c>
      <c r="H67" s="429" t="str">
        <f>IF('4.Procurement'!E8&lt;&gt;"",'4.Procurement'!E8,"")</f>
        <v>%</v>
      </c>
      <c r="I67" s="408" t="str">
        <f>IF('4.Procurement'!F8&lt;&gt;"",'4.Procurement'!F8,"")</f>
        <v>Higher the better</v>
      </c>
      <c r="J67" s="408" t="str">
        <f>IF('4.Procurement'!G8&lt;&gt;"",'4.Procurement'!G8,"")</f>
        <v>Monthly</v>
      </c>
      <c r="K67" s="54" t="s">
        <v>29</v>
      </c>
      <c r="L67" s="55">
        <f>IF('4.Procurement'!I8&lt;&gt;"",'4.Procurement'!I8,"")</f>
        <v>0.9</v>
      </c>
      <c r="M67" s="55">
        <f>IF('4.Procurement'!J8&lt;&gt;"",'4.Procurement'!J8,"")</f>
        <v>0.9</v>
      </c>
      <c r="N67" s="55">
        <f>IF('4.Procurement'!K8&lt;&gt;"",'4.Procurement'!K8,"")</f>
        <v>0.9</v>
      </c>
      <c r="O67" s="55">
        <f>IF('4.Procurement'!L8&lt;&gt;"",'4.Procurement'!L8,"")</f>
        <v>0.9</v>
      </c>
      <c r="P67" s="55">
        <f>IF('4.Procurement'!M8&lt;&gt;"",'4.Procurement'!M8,"")</f>
        <v>0.9</v>
      </c>
      <c r="Q67" s="55">
        <f>IF('4.Procurement'!N8&lt;&gt;"",'4.Procurement'!N8,"")</f>
        <v>0.9</v>
      </c>
      <c r="R67" s="55">
        <f>IF('4.Procurement'!O8&lt;&gt;"",'4.Procurement'!O8,"")</f>
        <v>0.9</v>
      </c>
      <c r="S67" s="55">
        <f>IF('4.Procurement'!P8&lt;&gt;"",'4.Procurement'!P8,"")</f>
        <v>0.9</v>
      </c>
      <c r="T67" s="55">
        <f>IF('4.Procurement'!Q8&lt;&gt;"",'4.Procurement'!Q8,"")</f>
        <v>0.9</v>
      </c>
      <c r="U67" s="55">
        <f>IF('4.Procurement'!R8&lt;&gt;"",'4.Procurement'!R8,"")</f>
        <v>0.9</v>
      </c>
      <c r="V67" s="55">
        <f>IF('4.Procurement'!S8&lt;&gt;"",'4.Procurement'!S8,"")</f>
        <v>0.9</v>
      </c>
      <c r="W67" s="83">
        <f>IF('4.Procurement'!T8&lt;&gt;"",'4.Procurement'!T8,"")</f>
        <v>0.9</v>
      </c>
      <c r="X67" s="405"/>
      <c r="Y67" s="405"/>
      <c r="Z67" s="405"/>
      <c r="AA67" s="405"/>
    </row>
    <row r="68" spans="1:27" s="53" customFormat="1" ht="14.45">
      <c r="A68" s="394"/>
      <c r="B68" s="395"/>
      <c r="C68" s="408"/>
      <c r="D68" s="387"/>
      <c r="E68" s="408"/>
      <c r="F68" s="429"/>
      <c r="G68" s="429"/>
      <c r="H68" s="429"/>
      <c r="I68" s="408"/>
      <c r="J68" s="408"/>
      <c r="K68" s="54" t="s">
        <v>30</v>
      </c>
      <c r="L68" s="56">
        <f>IF('4.Procurement'!I9&lt;&gt;"",'4.Procurement'!I9,"")</f>
        <v>1</v>
      </c>
      <c r="M68" s="56">
        <f>IF('4.Procurement'!J9&lt;&gt;"",'4.Procurement'!J9,"")</f>
        <v>1</v>
      </c>
      <c r="N68" s="56">
        <f>IF('4.Procurement'!K9&lt;&gt;"",'4.Procurement'!K9,"")</f>
        <v>1</v>
      </c>
      <c r="O68" s="56">
        <f>IF('4.Procurement'!L9&lt;&gt;"",'4.Procurement'!L9,"")</f>
        <v>0.88</v>
      </c>
      <c r="P68" s="56">
        <f>IF('4.Procurement'!M9&lt;&gt;"",'4.Procurement'!M9,"")</f>
        <v>0.93</v>
      </c>
      <c r="Q68" s="56">
        <f>IF('4.Procurement'!N9&lt;&gt;"",'4.Procurement'!N9,"")</f>
        <v>0.8571428571428571</v>
      </c>
      <c r="R68" s="56">
        <f>IF('4.Procurement'!O9&lt;&gt;"",'4.Procurement'!O9,"")</f>
        <v>1</v>
      </c>
      <c r="S68" s="56" t="str">
        <f>IF('4.Procurement'!P9&lt;&gt;"",'4.Procurement'!P9,"")</f>
        <v/>
      </c>
      <c r="T68" s="56" t="str">
        <f>IF('4.Procurement'!Q9&lt;&gt;"",'4.Procurement'!Q9,"")</f>
        <v/>
      </c>
      <c r="U68" s="56" t="str">
        <f>IF('4.Procurement'!R9&lt;&gt;"",'4.Procurement'!R9,"")</f>
        <v/>
      </c>
      <c r="V68" s="56" t="str">
        <f>IF('4.Procurement'!S9&lt;&gt;"",'4.Procurement'!S9,"")</f>
        <v/>
      </c>
      <c r="W68" s="84" t="str">
        <f>IF('4.Procurement'!T9&lt;&gt;"",'4.Procurement'!T9,"")</f>
        <v/>
      </c>
      <c r="X68" s="405"/>
      <c r="Y68" s="405"/>
      <c r="Z68" s="405"/>
      <c r="AA68" s="405"/>
    </row>
    <row r="69" spans="1:27" s="53" customFormat="1" ht="14.45">
      <c r="A69" s="394"/>
      <c r="B69" s="395"/>
      <c r="C69" s="408" t="str">
        <f>IF('4.Procurement'!A10&lt;&gt;"",'4.Procurement'!A10,"")</f>
        <v>NPI / MLD</v>
      </c>
      <c r="D69" s="386" t="s">
        <v>42</v>
      </c>
      <c r="E69" s="408" t="str">
        <f>IF('4.Procurement'!B10&lt;&gt;"",'4.Procurement'!B10,"")</f>
        <v>NPI gate readiness</v>
      </c>
      <c r="F69" s="429" t="str">
        <f>IF('4.Procurement'!C10&lt;&gt;"",'4.Procurement'!C10,"")</f>
        <v>=</v>
      </c>
      <c r="G69" s="429">
        <f>IF('4.Procurement'!D10&lt;&gt;"",'4.Procurement'!D10,"")</f>
        <v>1</v>
      </c>
      <c r="H69" s="429" t="str">
        <f>IF('4.Procurement'!E10&lt;&gt;"",'4.Procurement'!E10,"")</f>
        <v>%</v>
      </c>
      <c r="I69" s="408" t="str">
        <f>IF('4.Procurement'!F10&lt;&gt;"",'4.Procurement'!F10,"")</f>
        <v>Higher the better</v>
      </c>
      <c r="J69" s="408" t="str">
        <f>IF('4.Procurement'!G10&lt;&gt;"",'4.Procurement'!G10,"")</f>
        <v>Monthly</v>
      </c>
      <c r="K69" s="54" t="s">
        <v>29</v>
      </c>
      <c r="L69" s="64">
        <f>IF('4.Procurement'!I10&lt;&gt;"",'4.Procurement'!I10,"")</f>
        <v>0</v>
      </c>
      <c r="M69" s="64">
        <f>IF('4.Procurement'!J10&lt;&gt;"",'4.Procurement'!J10,"")</f>
        <v>0</v>
      </c>
      <c r="N69" s="64">
        <f>IF('4.Procurement'!K10&lt;&gt;"",'4.Procurement'!K10,"")</f>
        <v>0</v>
      </c>
      <c r="O69" s="64">
        <f>IF('4.Procurement'!L10&lt;&gt;"",'4.Procurement'!L10,"")</f>
        <v>1</v>
      </c>
      <c r="P69" s="64">
        <f>IF('4.Procurement'!M10&lt;&gt;"",'4.Procurement'!M10,"")</f>
        <v>0</v>
      </c>
      <c r="Q69" s="64">
        <f>IF('4.Procurement'!N10&lt;&gt;"",'4.Procurement'!N10,"")</f>
        <v>0</v>
      </c>
      <c r="R69" s="64">
        <f>IF('4.Procurement'!O10&lt;&gt;"",'4.Procurement'!O10,"")</f>
        <v>1</v>
      </c>
      <c r="S69" s="64">
        <f>IF('4.Procurement'!P10&lt;&gt;"",'4.Procurement'!P10,"")</f>
        <v>1</v>
      </c>
      <c r="T69" s="64">
        <f>IF('4.Procurement'!Q10&lt;&gt;"",'4.Procurement'!Q10,"")</f>
        <v>0</v>
      </c>
      <c r="U69" s="64">
        <f>IF('4.Procurement'!R10&lt;&gt;"",'4.Procurement'!R10,"")</f>
        <v>0</v>
      </c>
      <c r="V69" s="64">
        <f>IF('4.Procurement'!S10&lt;&gt;"",'4.Procurement'!S10,"")</f>
        <v>0</v>
      </c>
      <c r="W69" s="81">
        <f>IF('4.Procurement'!T10&lt;&gt;"",'4.Procurement'!T10,"")</f>
        <v>0</v>
      </c>
      <c r="X69" s="405"/>
      <c r="Y69" s="405"/>
      <c r="Z69" s="405"/>
      <c r="AA69" s="405"/>
    </row>
    <row r="70" spans="1:27" s="53" customFormat="1" thickBot="1">
      <c r="A70" s="394"/>
      <c r="B70" s="395"/>
      <c r="C70" s="408"/>
      <c r="D70" s="387"/>
      <c r="E70" s="408"/>
      <c r="F70" s="429"/>
      <c r="G70" s="429"/>
      <c r="H70" s="429"/>
      <c r="I70" s="408"/>
      <c r="J70" s="408"/>
      <c r="K70" s="54" t="s">
        <v>30</v>
      </c>
      <c r="L70" s="63" t="str">
        <f>IF('4.Procurement'!I11&lt;&gt;"",'4.Procurement'!I11,"")</f>
        <v>-</v>
      </c>
      <c r="M70" s="63" t="str">
        <f>IF('4.Procurement'!J11&lt;&gt;"",'4.Procurement'!J11,"")</f>
        <v>-</v>
      </c>
      <c r="N70" s="63" t="str">
        <f>IF('4.Procurement'!K11&lt;&gt;"",'4.Procurement'!K11,"")</f>
        <v>-</v>
      </c>
      <c r="O70" s="63" t="str">
        <f>IF('4.Procurement'!L11&lt;&gt;"",'4.Procurement'!L11,"")</f>
        <v>-</v>
      </c>
      <c r="P70" s="63" t="str">
        <f>IF('4.Procurement'!M11&lt;&gt;"",'4.Procurement'!M11,"")</f>
        <v>-</v>
      </c>
      <c r="Q70" s="63" t="str">
        <f>IF('4.Procurement'!N11&lt;&gt;"",'4.Procurement'!N11,"")</f>
        <v>-</v>
      </c>
      <c r="R70" s="63">
        <f>IF('4.Procurement'!O11&lt;&gt;"",'4.Procurement'!O11,"")</f>
        <v>1</v>
      </c>
      <c r="S70" s="63" t="str">
        <f>IF('4.Procurement'!P11&lt;&gt;"",'4.Procurement'!P11,"")</f>
        <v/>
      </c>
      <c r="T70" s="63" t="str">
        <f>IF('4.Procurement'!Q11&lt;&gt;"",'4.Procurement'!Q11,"")</f>
        <v/>
      </c>
      <c r="U70" s="63" t="str">
        <f>IF('4.Procurement'!R11&lt;&gt;"",'4.Procurement'!R11,"")</f>
        <v/>
      </c>
      <c r="V70" s="63" t="str">
        <f>IF('4.Procurement'!S11&lt;&gt;"",'4.Procurement'!S11,"")</f>
        <v/>
      </c>
      <c r="W70" s="82" t="str">
        <f>IF('4.Procurement'!T11&lt;&gt;"",'4.Procurement'!T11,"")</f>
        <v/>
      </c>
      <c r="X70" s="405"/>
      <c r="Y70" s="405"/>
      <c r="Z70" s="405"/>
      <c r="AA70" s="405"/>
    </row>
    <row r="71" spans="1:27" s="53" customFormat="1" ht="14.85" customHeight="1">
      <c r="A71" s="392" t="s">
        <v>43</v>
      </c>
      <c r="B71" s="393"/>
      <c r="C71" s="428" t="str">
        <f>IF('12.FINANCE'!A6&lt;&gt;"",'12.FINANCE'!A6,"")</f>
        <v>EBIT</v>
      </c>
      <c r="D71" s="390" t="s">
        <v>44</v>
      </c>
      <c r="E71" s="408" t="str">
        <f>IF('12.FINANCE'!B6&lt;&gt;"",'12.FINANCE'!B6,"")</f>
        <v/>
      </c>
      <c r="F71" s="429" t="str">
        <f>IF('12.FINANCE'!C6&lt;&gt;"",'12.FINANCE'!C6,"")</f>
        <v/>
      </c>
      <c r="G71" s="429" t="str">
        <f>IF('12.FINANCE'!D6&lt;&gt;"",'12.FINANCE'!D6,"")</f>
        <v/>
      </c>
      <c r="H71" s="429" t="str">
        <f>IF('12.FINANCE'!E6&lt;&gt;"",'12.FINANCE'!E6,"")</f>
        <v/>
      </c>
      <c r="I71" s="408" t="str">
        <f>IF('12.FINANCE'!F6&lt;&gt;"",'12.FINANCE'!F6,"")</f>
        <v/>
      </c>
      <c r="J71" s="408" t="str">
        <f>IF('12.FINANCE'!G6&lt;&gt;"",'12.FINANCE'!G6,"")</f>
        <v/>
      </c>
      <c r="K71" s="54" t="s">
        <v>29</v>
      </c>
      <c r="L71" s="64" t="str">
        <f>IF('12.FINANCE'!I6&lt;&gt;"",'12.FINANCE'!I6,"")</f>
        <v/>
      </c>
      <c r="M71" s="64" t="str">
        <f>IF('12.FINANCE'!J6&lt;&gt;"",'12.FINANCE'!J6,"")</f>
        <v/>
      </c>
      <c r="N71" s="64" t="str">
        <f>IF('12.FINANCE'!K6&lt;&gt;"",'12.FINANCE'!K6,"")</f>
        <v/>
      </c>
      <c r="O71" s="64" t="str">
        <f>IF('12.FINANCE'!L6&lt;&gt;"",'12.FINANCE'!L6,"")</f>
        <v/>
      </c>
      <c r="P71" s="64" t="str">
        <f>IF('12.FINANCE'!M6&lt;&gt;"",'12.FINANCE'!M6,"")</f>
        <v/>
      </c>
      <c r="Q71" s="64" t="str">
        <f>IF('12.FINANCE'!N6&lt;&gt;"",'12.FINANCE'!N6,"")</f>
        <v/>
      </c>
      <c r="R71" s="64" t="str">
        <f>IF('12.FINANCE'!O6&lt;&gt;"",'12.FINANCE'!O6,"")</f>
        <v/>
      </c>
      <c r="S71" s="64" t="str">
        <f>IF('12.FINANCE'!P6&lt;&gt;"",'12.FINANCE'!P6,"")</f>
        <v/>
      </c>
      <c r="T71" s="64" t="str">
        <f>IF('12.FINANCE'!Q6&lt;&gt;"",'12.FINANCE'!Q6,"")</f>
        <v/>
      </c>
      <c r="U71" s="64" t="str">
        <f>IF('12.FINANCE'!R6&lt;&gt;"",'12.FINANCE'!R6,"")</f>
        <v/>
      </c>
      <c r="V71" s="64" t="str">
        <f>IF('12.FINANCE'!S6&lt;&gt;"",'12.FINANCE'!S6,"")</f>
        <v/>
      </c>
      <c r="W71" s="81" t="str">
        <f>IF('12.FINANCE'!T6&lt;&gt;"",'12.FINANCE'!T6,"")</f>
        <v/>
      </c>
      <c r="X71" s="405"/>
      <c r="Y71" s="405"/>
      <c r="Z71" s="405"/>
      <c r="AA71" s="405"/>
    </row>
    <row r="72" spans="1:27" s="53" customFormat="1" ht="14.45">
      <c r="A72" s="394"/>
      <c r="B72" s="395"/>
      <c r="C72" s="428"/>
      <c r="D72" s="391"/>
      <c r="E72" s="408"/>
      <c r="F72" s="429"/>
      <c r="G72" s="429"/>
      <c r="H72" s="429"/>
      <c r="I72" s="408"/>
      <c r="J72" s="408"/>
      <c r="K72" s="54" t="s">
        <v>30</v>
      </c>
      <c r="L72" s="63" t="str">
        <f>IF('12.FINANCE'!I7&lt;&gt;"",'12.FINANCE'!I7,"")</f>
        <v/>
      </c>
      <c r="M72" s="63" t="str">
        <f>IF('12.FINANCE'!J7&lt;&gt;"",'12.FINANCE'!J7,"")</f>
        <v/>
      </c>
      <c r="N72" s="63" t="str">
        <f>IF('12.FINANCE'!K7&lt;&gt;"",'12.FINANCE'!K7,"")</f>
        <v/>
      </c>
      <c r="O72" s="63" t="str">
        <f>IF('12.FINANCE'!L7&lt;&gt;"",'12.FINANCE'!L7,"")</f>
        <v/>
      </c>
      <c r="P72" s="63" t="str">
        <f>IF('12.FINANCE'!M7&lt;&gt;"",'12.FINANCE'!M7,"")</f>
        <v/>
      </c>
      <c r="Q72" s="63" t="str">
        <f>IF('12.FINANCE'!N7&lt;&gt;"",'12.FINANCE'!N7,"")</f>
        <v/>
      </c>
      <c r="R72" s="63" t="str">
        <f>IF('12.FINANCE'!O7&lt;&gt;"",'12.FINANCE'!O7,"")</f>
        <v/>
      </c>
      <c r="S72" s="63" t="str">
        <f>IF('12.FINANCE'!P7&lt;&gt;"",'12.FINANCE'!P7,"")</f>
        <v/>
      </c>
      <c r="T72" s="63" t="str">
        <f>IF('12.FINANCE'!Q7&lt;&gt;"",'12.FINANCE'!Q7,"")</f>
        <v/>
      </c>
      <c r="U72" s="63" t="str">
        <f>IF('12.FINANCE'!R7&lt;&gt;"",'12.FINANCE'!R7,"")</f>
        <v/>
      </c>
      <c r="V72" s="63" t="str">
        <f>IF('12.FINANCE'!S7&lt;&gt;"",'12.FINANCE'!S7,"")</f>
        <v/>
      </c>
      <c r="W72" s="82" t="str">
        <f>IF('12.FINANCE'!T7&lt;&gt;"",'12.FINANCE'!T7,"")</f>
        <v/>
      </c>
      <c r="X72" s="405"/>
      <c r="Y72" s="405"/>
      <c r="Z72" s="405"/>
      <c r="AA72" s="405"/>
    </row>
    <row r="73" spans="1:27" s="53" customFormat="1" ht="14.45">
      <c r="A73" s="394"/>
      <c r="B73" s="395"/>
      <c r="C73" s="428" t="str">
        <f>IF('12.FINANCE'!A8&lt;&gt;"",'12.FINANCE'!A8,"")</f>
        <v>IGM</v>
      </c>
      <c r="D73" s="390" t="s">
        <v>44</v>
      </c>
      <c r="E73" s="408" t="str">
        <f>IF('12.FINANCE'!B8&lt;&gt;"",'12.FINANCE'!B8,"")</f>
        <v/>
      </c>
      <c r="F73" s="429" t="str">
        <f>IF('12.FINANCE'!C8&lt;&gt;"",'12.FINANCE'!C8,"")</f>
        <v/>
      </c>
      <c r="G73" s="429" t="str">
        <f>IF('12.FINANCE'!D8&lt;&gt;"",'12.FINANCE'!D8,"")</f>
        <v/>
      </c>
      <c r="H73" s="429" t="str">
        <f>IF('12.FINANCE'!E8&lt;&gt;"",'12.FINANCE'!E8,"")</f>
        <v/>
      </c>
      <c r="I73" s="408" t="str">
        <f>IF('12.FINANCE'!F8&lt;&gt;"",'12.FINANCE'!F8,"")</f>
        <v/>
      </c>
      <c r="J73" s="408" t="str">
        <f>IF('12.FINANCE'!G8&lt;&gt;"",'12.FINANCE'!G8,"")</f>
        <v/>
      </c>
      <c r="K73" s="54" t="s">
        <v>29</v>
      </c>
      <c r="L73" s="64" t="str">
        <f>IF('12.FINANCE'!I8&lt;&gt;"",'12.FINANCE'!I8,"")</f>
        <v/>
      </c>
      <c r="M73" s="64" t="str">
        <f>IF('12.FINANCE'!J8&lt;&gt;"",'12.FINANCE'!J8,"")</f>
        <v/>
      </c>
      <c r="N73" s="64" t="str">
        <f>IF('12.FINANCE'!K8&lt;&gt;"",'12.FINANCE'!K8,"")</f>
        <v/>
      </c>
      <c r="O73" s="64" t="str">
        <f>IF('12.FINANCE'!L8&lt;&gt;"",'12.FINANCE'!L8,"")</f>
        <v/>
      </c>
      <c r="P73" s="64" t="str">
        <f>IF('12.FINANCE'!M8&lt;&gt;"",'12.FINANCE'!M8,"")</f>
        <v/>
      </c>
      <c r="Q73" s="64" t="str">
        <f>IF('12.FINANCE'!N8&lt;&gt;"",'12.FINANCE'!N8,"")</f>
        <v/>
      </c>
      <c r="R73" s="64" t="str">
        <f>IF('12.FINANCE'!O8&lt;&gt;"",'12.FINANCE'!O8,"")</f>
        <v/>
      </c>
      <c r="S73" s="64" t="str">
        <f>IF('12.FINANCE'!P8&lt;&gt;"",'12.FINANCE'!P8,"")</f>
        <v/>
      </c>
      <c r="T73" s="64" t="str">
        <f>IF('12.FINANCE'!Q8&lt;&gt;"",'12.FINANCE'!Q8,"")</f>
        <v/>
      </c>
      <c r="U73" s="64" t="str">
        <f>IF('12.FINANCE'!R8&lt;&gt;"",'12.FINANCE'!R8,"")</f>
        <v/>
      </c>
      <c r="V73" s="64" t="str">
        <f>IF('12.FINANCE'!S8&lt;&gt;"",'12.FINANCE'!S8,"")</f>
        <v/>
      </c>
      <c r="W73" s="81" t="str">
        <f>IF('12.FINANCE'!T8&lt;&gt;"",'12.FINANCE'!T8,"")</f>
        <v/>
      </c>
      <c r="X73" s="405"/>
      <c r="Y73" s="405"/>
      <c r="Z73" s="405"/>
      <c r="AA73" s="405"/>
    </row>
    <row r="74" spans="1:27" s="53" customFormat="1" ht="14.45">
      <c r="A74" s="394"/>
      <c r="B74" s="395"/>
      <c r="C74" s="428"/>
      <c r="D74" s="391"/>
      <c r="E74" s="408"/>
      <c r="F74" s="429"/>
      <c r="G74" s="429"/>
      <c r="H74" s="429"/>
      <c r="I74" s="408"/>
      <c r="J74" s="408"/>
      <c r="K74" s="54" t="s">
        <v>30</v>
      </c>
      <c r="L74" s="63" t="str">
        <f>IF('12.FINANCE'!I9&lt;&gt;"",'12.FINANCE'!I9,"")</f>
        <v/>
      </c>
      <c r="M74" s="63" t="str">
        <f>IF('12.FINANCE'!J9&lt;&gt;"",'12.FINANCE'!J9,"")</f>
        <v/>
      </c>
      <c r="N74" s="63" t="str">
        <f>IF('12.FINANCE'!K9&lt;&gt;"",'12.FINANCE'!K9,"")</f>
        <v/>
      </c>
      <c r="O74" s="63" t="str">
        <f>IF('12.FINANCE'!L9&lt;&gt;"",'12.FINANCE'!L9,"")</f>
        <v/>
      </c>
      <c r="P74" s="63" t="str">
        <f>IF('12.FINANCE'!M9&lt;&gt;"",'12.FINANCE'!M9,"")</f>
        <v/>
      </c>
      <c r="Q74" s="63" t="str">
        <f>IF('12.FINANCE'!N9&lt;&gt;"",'12.FINANCE'!N9,"")</f>
        <v/>
      </c>
      <c r="R74" s="63" t="str">
        <f>IF('12.FINANCE'!O9&lt;&gt;"",'12.FINANCE'!O9,"")</f>
        <v/>
      </c>
      <c r="S74" s="63" t="str">
        <f>IF('12.FINANCE'!P9&lt;&gt;"",'12.FINANCE'!P9,"")</f>
        <v/>
      </c>
      <c r="T74" s="63" t="str">
        <f>IF('12.FINANCE'!Q9&lt;&gt;"",'12.FINANCE'!Q9,"")</f>
        <v/>
      </c>
      <c r="U74" s="63" t="str">
        <f>IF('12.FINANCE'!R9&lt;&gt;"",'12.FINANCE'!R9,"")</f>
        <v/>
      </c>
      <c r="V74" s="63" t="str">
        <f>IF('12.FINANCE'!S9&lt;&gt;"",'12.FINANCE'!S9,"")</f>
        <v/>
      </c>
      <c r="W74" s="82" t="str">
        <f>IF('12.FINANCE'!T9&lt;&gt;"",'12.FINANCE'!T9,"")</f>
        <v/>
      </c>
      <c r="X74" s="405"/>
      <c r="Y74" s="405"/>
      <c r="Z74" s="405"/>
      <c r="AA74" s="405"/>
    </row>
    <row r="75" spans="1:27" s="53" customFormat="1" ht="14.45">
      <c r="A75" s="394"/>
      <c r="B75" s="395"/>
      <c r="C75" s="428" t="str">
        <f>IF('12.FINANCE'!A10&lt;&gt;"",'12.FINANCE'!A10,"")</f>
        <v>Productivity</v>
      </c>
      <c r="D75" s="390" t="s">
        <v>44</v>
      </c>
      <c r="E75" s="408" t="str">
        <f>IF('12.FINANCE'!B10&lt;&gt;"",'12.FINANCE'!B10,"")</f>
        <v/>
      </c>
      <c r="F75" s="429" t="str">
        <f>IF('12.FINANCE'!C10&lt;&gt;"",'12.FINANCE'!C10,"")</f>
        <v/>
      </c>
      <c r="G75" s="429" t="str">
        <f>IF('12.FINANCE'!D10&lt;&gt;"",'12.FINANCE'!D10,"")</f>
        <v/>
      </c>
      <c r="H75" s="429" t="str">
        <f>IF('12.FINANCE'!E10&lt;&gt;"",'12.FINANCE'!E10,"")</f>
        <v/>
      </c>
      <c r="I75" s="408" t="str">
        <f>IF('12.FINANCE'!F10&lt;&gt;"",'12.FINANCE'!F10,"")</f>
        <v/>
      </c>
      <c r="J75" s="408" t="str">
        <f>IF('12.FINANCE'!G10&lt;&gt;"",'12.FINANCE'!G10,"")</f>
        <v/>
      </c>
      <c r="K75" s="54" t="s">
        <v>29</v>
      </c>
      <c r="L75" s="64" t="str">
        <f>IF('12.FINANCE'!I10&lt;&gt;"",'12.FINANCE'!I10,"")</f>
        <v/>
      </c>
      <c r="M75" s="64" t="str">
        <f>IF('12.FINANCE'!J10&lt;&gt;"",'12.FINANCE'!J10,"")</f>
        <v/>
      </c>
      <c r="N75" s="64" t="str">
        <f>IF('12.FINANCE'!K10&lt;&gt;"",'12.FINANCE'!K10,"")</f>
        <v/>
      </c>
      <c r="O75" s="64" t="str">
        <f>IF('12.FINANCE'!L10&lt;&gt;"",'12.FINANCE'!L10,"")</f>
        <v/>
      </c>
      <c r="P75" s="64" t="str">
        <f>IF('12.FINANCE'!M10&lt;&gt;"",'12.FINANCE'!M10,"")</f>
        <v/>
      </c>
      <c r="Q75" s="64" t="str">
        <f>IF('12.FINANCE'!N10&lt;&gt;"",'12.FINANCE'!N10,"")</f>
        <v/>
      </c>
      <c r="R75" s="64" t="str">
        <f>IF('12.FINANCE'!O10&lt;&gt;"",'12.FINANCE'!O10,"")</f>
        <v/>
      </c>
      <c r="S75" s="64" t="str">
        <f>IF('12.FINANCE'!P10&lt;&gt;"",'12.FINANCE'!P10,"")</f>
        <v/>
      </c>
      <c r="T75" s="64" t="str">
        <f>IF('12.FINANCE'!Q10&lt;&gt;"",'12.FINANCE'!Q10,"")</f>
        <v/>
      </c>
      <c r="U75" s="64" t="str">
        <f>IF('12.FINANCE'!R10&lt;&gt;"",'12.FINANCE'!R10,"")</f>
        <v/>
      </c>
      <c r="V75" s="64" t="str">
        <f>IF('12.FINANCE'!S10&lt;&gt;"",'12.FINANCE'!S10,"")</f>
        <v/>
      </c>
      <c r="W75" s="81" t="str">
        <f>IF('12.FINANCE'!T10&lt;&gt;"",'12.FINANCE'!T10,"")</f>
        <v/>
      </c>
      <c r="X75" s="405"/>
      <c r="Y75" s="405"/>
      <c r="Z75" s="405"/>
      <c r="AA75" s="405"/>
    </row>
    <row r="76" spans="1:27" s="53" customFormat="1" thickBot="1">
      <c r="A76" s="396"/>
      <c r="B76" s="397"/>
      <c r="C76" s="428"/>
      <c r="D76" s="391"/>
      <c r="E76" s="408"/>
      <c r="F76" s="429"/>
      <c r="G76" s="429"/>
      <c r="H76" s="429"/>
      <c r="I76" s="408"/>
      <c r="J76" s="408"/>
      <c r="K76" s="54" t="s">
        <v>30</v>
      </c>
      <c r="L76" s="63" t="str">
        <f>IF('12.FINANCE'!I11&lt;&gt;"",'12.FINANCE'!I11,"")</f>
        <v/>
      </c>
      <c r="M76" s="63" t="str">
        <f>IF('12.FINANCE'!J11&lt;&gt;"",'12.FINANCE'!J11,"")</f>
        <v/>
      </c>
      <c r="N76" s="63" t="str">
        <f>IF('12.FINANCE'!K11&lt;&gt;"",'12.FINANCE'!K11,"")</f>
        <v/>
      </c>
      <c r="O76" s="63" t="str">
        <f>IF('12.FINANCE'!L11&lt;&gt;"",'12.FINANCE'!L11,"")</f>
        <v/>
      </c>
      <c r="P76" s="63" t="str">
        <f>IF('12.FINANCE'!M11&lt;&gt;"",'12.FINANCE'!M11,"")</f>
        <v/>
      </c>
      <c r="Q76" s="63" t="str">
        <f>IF('12.FINANCE'!N11&lt;&gt;"",'12.FINANCE'!N11,"")</f>
        <v/>
      </c>
      <c r="R76" s="63" t="str">
        <f>IF('12.FINANCE'!O11&lt;&gt;"",'12.FINANCE'!O11,"")</f>
        <v/>
      </c>
      <c r="S76" s="63" t="str">
        <f>IF('12.FINANCE'!P11&lt;&gt;"",'12.FINANCE'!P11,"")</f>
        <v/>
      </c>
      <c r="T76" s="63" t="str">
        <f>IF('12.FINANCE'!Q11&lt;&gt;"",'12.FINANCE'!Q11,"")</f>
        <v/>
      </c>
      <c r="U76" s="63" t="str">
        <f>IF('12.FINANCE'!R11&lt;&gt;"",'12.FINANCE'!R11,"")</f>
        <v/>
      </c>
      <c r="V76" s="63" t="str">
        <f>IF('12.FINANCE'!S11&lt;&gt;"",'12.FINANCE'!S11,"")</f>
        <v/>
      </c>
      <c r="W76" s="82" t="str">
        <f>IF('12.FINANCE'!T11&lt;&gt;"",'12.FINANCE'!T11,"")</f>
        <v/>
      </c>
      <c r="X76" s="405"/>
      <c r="Y76" s="405"/>
      <c r="Z76" s="405"/>
      <c r="AA76" s="405"/>
    </row>
    <row r="77" spans="1:27" s="53" customFormat="1" ht="23.25" customHeight="1">
      <c r="A77" s="392" t="s">
        <v>45</v>
      </c>
      <c r="B77" s="398"/>
      <c r="C77" s="428" t="s">
        <v>46</v>
      </c>
      <c r="D77" s="386" t="s">
        <v>47</v>
      </c>
      <c r="E77" s="408"/>
      <c r="F77" s="429"/>
      <c r="G77" s="429"/>
      <c r="H77" s="429"/>
      <c r="I77" s="408"/>
      <c r="J77" s="408" t="s">
        <v>48</v>
      </c>
      <c r="K77" s="54" t="s">
        <v>29</v>
      </c>
      <c r="L77" s="64"/>
      <c r="M77" s="64"/>
      <c r="N77" s="64"/>
      <c r="O77" s="64"/>
      <c r="P77" s="64"/>
      <c r="Q77" s="65"/>
      <c r="R77" s="65"/>
      <c r="S77" s="65"/>
      <c r="T77" s="65"/>
      <c r="U77" s="65"/>
      <c r="V77" s="66"/>
      <c r="W77" s="87"/>
      <c r="X77" s="405"/>
      <c r="Y77" s="405"/>
      <c r="Z77" s="405"/>
      <c r="AA77" s="405"/>
    </row>
    <row r="78" spans="1:27" s="53" customFormat="1" ht="21.75" customHeight="1" thickBot="1">
      <c r="A78" s="399"/>
      <c r="B78" s="400"/>
      <c r="C78" s="428"/>
      <c r="D78" s="387"/>
      <c r="E78" s="408"/>
      <c r="F78" s="429"/>
      <c r="G78" s="429"/>
      <c r="H78" s="429"/>
      <c r="I78" s="408"/>
      <c r="J78" s="408"/>
      <c r="K78" s="54" t="s">
        <v>30</v>
      </c>
      <c r="L78" s="63"/>
      <c r="M78" s="63"/>
      <c r="N78" s="63"/>
      <c r="O78" s="63"/>
      <c r="P78" s="63"/>
      <c r="Q78" s="63"/>
      <c r="R78" s="63"/>
      <c r="S78" s="63"/>
      <c r="T78" s="63"/>
      <c r="U78" s="63"/>
      <c r="V78" s="63"/>
      <c r="W78" s="82"/>
      <c r="X78" s="405"/>
      <c r="Y78" s="405"/>
      <c r="Z78" s="405"/>
      <c r="AA78" s="405"/>
    </row>
    <row r="79" spans="1:27" s="53" customFormat="1" ht="14.85" customHeight="1">
      <c r="A79" s="392" t="s">
        <v>49</v>
      </c>
      <c r="B79" s="398"/>
      <c r="C79" s="408" t="str">
        <f>IF('7.Customer Service'!A6&lt;&gt;"",'7.Customer Service'!A6,"")</f>
        <v>Customer Satisfaction</v>
      </c>
      <c r="D79" s="386" t="s">
        <v>50</v>
      </c>
      <c r="E79" s="408" t="str">
        <f>IF('7.Customer Service'!B6&lt;&gt;"",'7.Customer Service'!B6,"")</f>
        <v>NPS</v>
      </c>
      <c r="F79" s="429" t="str">
        <f>IF('7.Customer Service'!C6&lt;&gt;"",'7.Customer Service'!C6,"")</f>
        <v>&gt;=</v>
      </c>
      <c r="G79" s="429">
        <f>IF('7.Customer Service'!D6&lt;&gt;"",'7.Customer Service'!D6,"")</f>
        <v>0.79</v>
      </c>
      <c r="H79" s="429" t="str">
        <f>IF('7.Customer Service'!E6&lt;&gt;"",'7.Customer Service'!E6,"")</f>
        <v>%</v>
      </c>
      <c r="I79" s="408" t="str">
        <f>IF('7.Customer Service'!F6&lt;&gt;"",'7.Customer Service'!F6,"")</f>
        <v>Higher the better</v>
      </c>
      <c r="J79" s="408" t="str">
        <f>IF('7.Customer Service'!G6&lt;&gt;"",'7.Customer Service'!G6,"")</f>
        <v>Quarterly</v>
      </c>
      <c r="K79" s="54" t="s">
        <v>29</v>
      </c>
      <c r="L79" s="64" t="str">
        <f>IF('7.Customer Service'!I6&lt;&gt;"",'7.Customer Service'!I6,"")</f>
        <v/>
      </c>
      <c r="M79" s="64" t="str">
        <f>IF('7.Customer Service'!J6&lt;&gt;"",'7.Customer Service'!J6,"")</f>
        <v/>
      </c>
      <c r="N79" s="64">
        <f>IF('7.Customer Service'!K6&lt;&gt;"",'7.Customer Service'!K6,"")</f>
        <v>0.79</v>
      </c>
      <c r="O79" s="64" t="str">
        <f>IF('7.Customer Service'!L6&lt;&gt;"",'7.Customer Service'!L6,"")</f>
        <v/>
      </c>
      <c r="P79" s="64" t="str">
        <f>IF('7.Customer Service'!M6&lt;&gt;"",'7.Customer Service'!M6,"")</f>
        <v/>
      </c>
      <c r="Q79" s="64">
        <f>IF('7.Customer Service'!N6&lt;&gt;"",'7.Customer Service'!N6,"")</f>
        <v>0.79</v>
      </c>
      <c r="R79" s="64" t="str">
        <f>IF('7.Customer Service'!O6&lt;&gt;"",'7.Customer Service'!O6,"")</f>
        <v/>
      </c>
      <c r="S79" s="64" t="str">
        <f>IF('7.Customer Service'!P6&lt;&gt;"",'7.Customer Service'!P6,"")</f>
        <v/>
      </c>
      <c r="T79" s="64">
        <f>IF('7.Customer Service'!Q6&lt;&gt;"",'7.Customer Service'!Q6,"")</f>
        <v>0.79</v>
      </c>
      <c r="U79" s="64" t="str">
        <f>IF('7.Customer Service'!R6&lt;&gt;"",'7.Customer Service'!R6,"")</f>
        <v/>
      </c>
      <c r="V79" s="64" t="str">
        <f>IF('7.Customer Service'!S6&lt;&gt;"",'7.Customer Service'!S6,"")</f>
        <v/>
      </c>
      <c r="W79" s="81">
        <f>IF('7.Customer Service'!T6&lt;&gt;"",'7.Customer Service'!T6,"")</f>
        <v>0.79</v>
      </c>
      <c r="X79" s="405"/>
      <c r="Y79" s="405"/>
      <c r="Z79" s="405"/>
      <c r="AA79" s="405"/>
    </row>
    <row r="80" spans="1:27" s="53" customFormat="1" ht="14.45">
      <c r="A80" s="399"/>
      <c r="B80" s="400"/>
      <c r="C80" s="408"/>
      <c r="D80" s="387"/>
      <c r="E80" s="408"/>
      <c r="F80" s="429"/>
      <c r="G80" s="429"/>
      <c r="H80" s="429"/>
      <c r="I80" s="408"/>
      <c r="J80" s="408"/>
      <c r="K80" s="54" t="s">
        <v>30</v>
      </c>
      <c r="L80" s="63" t="str">
        <f>IF('7.Customer Service'!I7&lt;&gt;"",'7.Customer Service'!I7,"")</f>
        <v/>
      </c>
      <c r="M80" s="63" t="str">
        <f>IF('7.Customer Service'!J7&lt;&gt;"",'7.Customer Service'!J7,"")</f>
        <v/>
      </c>
      <c r="N80" s="63">
        <f>IF('7.Customer Service'!K7&lt;&gt;"",'7.Customer Service'!K7,"")</f>
        <v>0.92</v>
      </c>
      <c r="O80" s="63" t="str">
        <f>IF('7.Customer Service'!L7&lt;&gt;"",'7.Customer Service'!L7,"")</f>
        <v/>
      </c>
      <c r="P80" s="63" t="str">
        <f>IF('7.Customer Service'!M7&lt;&gt;"",'7.Customer Service'!M7,"")</f>
        <v/>
      </c>
      <c r="Q80" s="63">
        <f>IF('7.Customer Service'!N7&lt;&gt;"",'7.Customer Service'!N7,"")</f>
        <v>0.91</v>
      </c>
      <c r="R80" s="63" t="str">
        <f>IF('7.Customer Service'!O7&lt;&gt;"",'7.Customer Service'!O7,"")</f>
        <v/>
      </c>
      <c r="S80" s="63" t="str">
        <f>IF('7.Customer Service'!P7&lt;&gt;"",'7.Customer Service'!P7,"")</f>
        <v/>
      </c>
      <c r="T80" s="63" t="str">
        <f>IF('7.Customer Service'!Q7&lt;&gt;"",'7.Customer Service'!Q7,"")</f>
        <v/>
      </c>
      <c r="U80" s="63" t="str">
        <f>IF('7.Customer Service'!R7&lt;&gt;"",'7.Customer Service'!R7,"")</f>
        <v/>
      </c>
      <c r="V80" s="63" t="str">
        <f>IF('7.Customer Service'!S7&lt;&gt;"",'7.Customer Service'!S7,"")</f>
        <v/>
      </c>
      <c r="W80" s="82" t="str">
        <f>IF('7.Customer Service'!T7&lt;&gt;"",'7.Customer Service'!T7,"")</f>
        <v/>
      </c>
      <c r="X80" s="405"/>
      <c r="Y80" s="405"/>
      <c r="Z80" s="405"/>
      <c r="AA80" s="405"/>
    </row>
    <row r="81" spans="1:27" s="53" customFormat="1" ht="14.45">
      <c r="A81" s="399"/>
      <c r="B81" s="400"/>
      <c r="C81" s="408" t="str">
        <f>IF('7.Customer Service'!A8&lt;&gt;"",'7.Customer Service'!A8,"")</f>
        <v>CS Sales</v>
      </c>
      <c r="D81" s="386" t="s">
        <v>50</v>
      </c>
      <c r="E81" s="408" t="str">
        <f>IF('7.Customer Service'!B8&lt;&gt;"",'7.Customer Service'!B8,"")</f>
        <v>CS Revenue</v>
      </c>
      <c r="F81" s="429" t="str">
        <f>IF('7.Customer Service'!C8&lt;&gt;"",'7.Customer Service'!C8,"")</f>
        <v>&gt;=</v>
      </c>
      <c r="G81" s="429">
        <f>IF('7.Customer Service'!D8&lt;&gt;"",'7.Customer Service'!D8,"")</f>
        <v>77.400000000000006</v>
      </c>
      <c r="H81" s="429" t="str">
        <f>IF('7.Customer Service'!E8&lt;&gt;"",'7.Customer Service'!E8,"")</f>
        <v>Mn</v>
      </c>
      <c r="I81" s="408" t="str">
        <f>IF('7.Customer Service'!F8&lt;&gt;"",'7.Customer Service'!F8,"")</f>
        <v>Higher the better</v>
      </c>
      <c r="J81" s="408" t="str">
        <f>IF('7.Customer Service'!G8&lt;&gt;"",'7.Customer Service'!G8,"")</f>
        <v>Monthly</v>
      </c>
      <c r="K81" s="54" t="s">
        <v>29</v>
      </c>
      <c r="L81" s="64">
        <f>IF('7.Customer Service'!I8&lt;&gt;"",'7.Customer Service'!I8,"")</f>
        <v>5.87</v>
      </c>
      <c r="M81" s="64">
        <f>IF('7.Customer Service'!J8&lt;&gt;"",'7.Customer Service'!J8,"")</f>
        <v>11.52</v>
      </c>
      <c r="N81" s="64">
        <f>IF('7.Customer Service'!K8&lt;&gt;"",'7.Customer Service'!K8,"")</f>
        <v>18</v>
      </c>
      <c r="O81" s="64">
        <f>IF('7.Customer Service'!L8&lt;&gt;"",'7.Customer Service'!L8,"")</f>
        <v>24.1</v>
      </c>
      <c r="P81" s="64">
        <f>IF('7.Customer Service'!M8&lt;&gt;"",'7.Customer Service'!M8,"")</f>
        <v>30.33</v>
      </c>
      <c r="Q81" s="64">
        <f>IF('7.Customer Service'!N8&lt;&gt;"",'7.Customer Service'!N8,"")</f>
        <v>36.89</v>
      </c>
      <c r="R81" s="64">
        <f>IF('7.Customer Service'!O8&lt;&gt;"",'7.Customer Service'!O8,"")</f>
        <v>43.25</v>
      </c>
      <c r="S81" s="64" t="str">
        <f>IF('7.Customer Service'!P8&lt;&gt;"",'7.Customer Service'!P8,"")</f>
        <v/>
      </c>
      <c r="T81" s="64" t="str">
        <f>IF('7.Customer Service'!Q8&lt;&gt;"",'7.Customer Service'!Q8,"")</f>
        <v/>
      </c>
      <c r="U81" s="64" t="str">
        <f>IF('7.Customer Service'!R8&lt;&gt;"",'7.Customer Service'!R8,"")</f>
        <v/>
      </c>
      <c r="V81" s="64" t="str">
        <f>IF('7.Customer Service'!S8&lt;&gt;"",'7.Customer Service'!S8,"")</f>
        <v/>
      </c>
      <c r="W81" s="81" t="str">
        <f>IF('7.Customer Service'!T8&lt;&gt;"",'7.Customer Service'!T8,"")</f>
        <v/>
      </c>
      <c r="X81" s="405"/>
      <c r="Y81" s="405"/>
      <c r="Z81" s="405"/>
      <c r="AA81" s="405"/>
    </row>
    <row r="82" spans="1:27" s="53" customFormat="1" ht="14.45">
      <c r="A82" s="399"/>
      <c r="B82" s="400"/>
      <c r="C82" s="408"/>
      <c r="D82" s="387"/>
      <c r="E82" s="408"/>
      <c r="F82" s="429"/>
      <c r="G82" s="429"/>
      <c r="H82" s="429"/>
      <c r="I82" s="408"/>
      <c r="J82" s="408"/>
      <c r="K82" s="54" t="s">
        <v>30</v>
      </c>
      <c r="L82" s="63">
        <f>IF('7.Customer Service'!I9&lt;&gt;"",'7.Customer Service'!I9,"")</f>
        <v>5.77</v>
      </c>
      <c r="M82" s="63">
        <f>IF('7.Customer Service'!J9&lt;&gt;"",'7.Customer Service'!J9,"")</f>
        <v>11.29</v>
      </c>
      <c r="N82" s="63">
        <f>IF('7.Customer Service'!K9&lt;&gt;"",'7.Customer Service'!K9,"")</f>
        <v>17.7</v>
      </c>
      <c r="O82" s="63">
        <f>IF('7.Customer Service'!L9&lt;&gt;"",'7.Customer Service'!L9,"")</f>
        <v>23.77</v>
      </c>
      <c r="P82" s="63">
        <f>IF('7.Customer Service'!M9&lt;&gt;"",'7.Customer Service'!M9,"")</f>
        <v>29.8</v>
      </c>
      <c r="Q82" s="63">
        <f>IF('7.Customer Service'!N9&lt;&gt;"",'7.Customer Service'!N9,"")</f>
        <v>36.26</v>
      </c>
      <c r="R82" s="63">
        <f>IF('7.Customer Service'!O9&lt;&gt;"",'7.Customer Service'!O9,"")</f>
        <v>42.54</v>
      </c>
      <c r="S82" s="63" t="str">
        <f>IF('7.Customer Service'!P9&lt;&gt;"",'7.Customer Service'!P9,"")</f>
        <v/>
      </c>
      <c r="T82" s="63" t="str">
        <f>IF('7.Customer Service'!Q9&lt;&gt;"",'7.Customer Service'!Q9,"")</f>
        <v/>
      </c>
      <c r="U82" s="63" t="str">
        <f>IF('7.Customer Service'!R9&lt;&gt;"",'7.Customer Service'!R9,"")</f>
        <v/>
      </c>
      <c r="V82" s="63" t="str">
        <f>IF('7.Customer Service'!S9&lt;&gt;"",'7.Customer Service'!S9,"")</f>
        <v/>
      </c>
      <c r="W82" s="82" t="str">
        <f>IF('7.Customer Service'!T9&lt;&gt;"",'7.Customer Service'!T9,"")</f>
        <v/>
      </c>
      <c r="X82" s="405"/>
      <c r="Y82" s="405"/>
      <c r="Z82" s="405"/>
      <c r="AA82" s="405"/>
    </row>
    <row r="83" spans="1:27" s="53" customFormat="1" ht="15" customHeight="1">
      <c r="A83" s="399"/>
      <c r="B83" s="400"/>
      <c r="C83" s="408" t="str">
        <f>IF('7.Customer Service'!A10&lt;&gt;"",'7.Customer Service'!A10,"")</f>
        <v>CS Profitability</v>
      </c>
      <c r="D83" s="386" t="s">
        <v>50</v>
      </c>
      <c r="E83" s="408" t="str">
        <f>IF('7.Customer Service'!B10&lt;&gt;"",'7.Customer Service'!B10,"")</f>
        <v>Margins IGM%</v>
      </c>
      <c r="F83" s="429" t="str">
        <f>IF('7.Customer Service'!C10&lt;&gt;"",'7.Customer Service'!C10,"")</f>
        <v>&gt;=</v>
      </c>
      <c r="G83" s="429">
        <f>IF('7.Customer Service'!D10&lt;&gt;"",'7.Customer Service'!D10,"")</f>
        <v>0.52700000000000002</v>
      </c>
      <c r="H83" s="429" t="str">
        <f>IF('7.Customer Service'!E10&lt;&gt;"",'7.Customer Service'!E10,"")</f>
        <v>%</v>
      </c>
      <c r="I83" s="408" t="str">
        <f>IF('7.Customer Service'!F10&lt;&gt;"",'7.Customer Service'!F10,"")</f>
        <v>Higher the better</v>
      </c>
      <c r="J83" s="408" t="str">
        <f>IF('7.Customer Service'!G10&lt;&gt;"",'7.Customer Service'!G10,"")</f>
        <v>Monthly</v>
      </c>
      <c r="K83" s="54" t="s">
        <v>29</v>
      </c>
      <c r="L83" s="64">
        <f>IF('7.Customer Service'!I10&lt;&gt;"",'7.Customer Service'!I10,"")</f>
        <v>0.45300000000000001</v>
      </c>
      <c r="M83" s="64">
        <f>IF('7.Customer Service'!J10&lt;&gt;"",'7.Customer Service'!J10,"")</f>
        <v>0.46400000000000002</v>
      </c>
      <c r="N83" s="64">
        <f>IF('7.Customer Service'!K10&lt;&gt;"",'7.Customer Service'!K10,"")</f>
        <v>0.49299999999999999</v>
      </c>
      <c r="O83" s="64">
        <f>IF('7.Customer Service'!L10&lt;&gt;"",'7.Customer Service'!L10,"")</f>
        <v>0.49099999999999999</v>
      </c>
      <c r="P83" s="64">
        <f>IF('7.Customer Service'!M10&lt;&gt;"",'7.Customer Service'!M10,"")</f>
        <v>0.48799999999999999</v>
      </c>
      <c r="Q83" s="64">
        <f>IF('7.Customer Service'!N10&lt;&gt;"",'7.Customer Service'!N10,"")</f>
        <v>0.49199999999999999</v>
      </c>
      <c r="R83" s="64">
        <f>IF('7.Customer Service'!O10&lt;&gt;"",'7.Customer Service'!O10,"")</f>
        <v>0.49199999999999999</v>
      </c>
      <c r="S83" s="64">
        <f>IF('7.Customer Service'!P10&lt;&gt;"",'7.Customer Service'!P10,"")</f>
        <v>0.495</v>
      </c>
      <c r="T83" s="64">
        <f>IF('7.Customer Service'!Q10&lt;&gt;"",'7.Customer Service'!Q10,"")</f>
        <v>0.495</v>
      </c>
      <c r="U83" s="64">
        <f>IF('7.Customer Service'!R10&lt;&gt;"",'7.Customer Service'!R10,"")</f>
        <v>0.498</v>
      </c>
      <c r="V83" s="64">
        <f>IF('7.Customer Service'!S10&lt;&gt;"",'7.Customer Service'!S10,"")</f>
        <v>0.498</v>
      </c>
      <c r="W83" s="81">
        <f>IF('7.Customer Service'!T10&lt;&gt;"",'7.Customer Service'!T10,"")</f>
        <v>0.50700000000000001</v>
      </c>
      <c r="X83" s="405"/>
      <c r="Y83" s="405"/>
      <c r="Z83" s="405"/>
      <c r="AA83" s="405"/>
    </row>
    <row r="84" spans="1:27" s="53" customFormat="1" ht="14.45">
      <c r="A84" s="399"/>
      <c r="B84" s="400"/>
      <c r="C84" s="408"/>
      <c r="D84" s="387"/>
      <c r="E84" s="408"/>
      <c r="F84" s="429"/>
      <c r="G84" s="429"/>
      <c r="H84" s="429"/>
      <c r="I84" s="408"/>
      <c r="J84" s="408"/>
      <c r="K84" s="54" t="s">
        <v>30</v>
      </c>
      <c r="L84" s="63">
        <f>IF('7.Customer Service'!I11&lt;&gt;"",'7.Customer Service'!I11,"")</f>
        <v>0.40300000000000002</v>
      </c>
      <c r="M84" s="63">
        <f>IF('7.Customer Service'!J11&lt;&gt;"",'7.Customer Service'!J11,"")</f>
        <v>0.40200000000000002</v>
      </c>
      <c r="N84" s="63">
        <f>IF('7.Customer Service'!K11&lt;&gt;"",'7.Customer Service'!K11,"")</f>
        <v>0.42399999999999999</v>
      </c>
      <c r="O84" s="63">
        <f>IF('7.Customer Service'!L11&lt;&gt;"",'7.Customer Service'!L11,"")</f>
        <v>0.42799999999999999</v>
      </c>
      <c r="P84" s="63">
        <f>IF('7.Customer Service'!M11&lt;&gt;"",'7.Customer Service'!M11,"")</f>
        <v>0.43</v>
      </c>
      <c r="Q84" s="63">
        <f>IF('7.Customer Service'!N11&lt;&gt;"",'7.Customer Service'!N11,"")</f>
        <v>0.45</v>
      </c>
      <c r="R84" s="63">
        <f>IF('7.Customer Service'!O11&lt;&gt;"",'7.Customer Service'!O11,"")</f>
        <v>0.44700000000000001</v>
      </c>
      <c r="S84" s="63" t="str">
        <f>IF('7.Customer Service'!P11&lt;&gt;"",'7.Customer Service'!P11,"")</f>
        <v/>
      </c>
      <c r="T84" s="63" t="str">
        <f>IF('7.Customer Service'!Q11&lt;&gt;"",'7.Customer Service'!Q11,"")</f>
        <v/>
      </c>
      <c r="U84" s="63" t="str">
        <f>IF('7.Customer Service'!R11&lt;&gt;"",'7.Customer Service'!R11,"")</f>
        <v/>
      </c>
      <c r="V84" s="63" t="str">
        <f>IF('7.Customer Service'!S11&lt;&gt;"",'7.Customer Service'!S11,"")</f>
        <v/>
      </c>
      <c r="W84" s="82" t="str">
        <f>IF('7.Customer Service'!T11&lt;&gt;"",'7.Customer Service'!T11,"")</f>
        <v/>
      </c>
      <c r="X84" s="405"/>
      <c r="Y84" s="405"/>
      <c r="Z84" s="405"/>
      <c r="AA84" s="405"/>
    </row>
    <row r="85" spans="1:27" s="53" customFormat="1" ht="14.85" hidden="1" customHeight="1">
      <c r="A85" s="399"/>
      <c r="B85" s="401"/>
      <c r="C85" s="77" t="s">
        <v>51</v>
      </c>
      <c r="D85" s="69"/>
      <c r="E85" s="78" t="s">
        <v>52</v>
      </c>
      <c r="F85" s="79"/>
      <c r="G85" s="79" t="s">
        <v>53</v>
      </c>
      <c r="H85" s="79" t="s">
        <v>54</v>
      </c>
      <c r="I85" s="80"/>
      <c r="J85" s="76" t="s">
        <v>55</v>
      </c>
      <c r="K85" s="54" t="s">
        <v>29</v>
      </c>
      <c r="L85" s="57">
        <v>0.9</v>
      </c>
      <c r="M85" s="57">
        <v>0.9</v>
      </c>
      <c r="N85" s="57">
        <v>0.9</v>
      </c>
      <c r="O85" s="57">
        <v>0.9</v>
      </c>
      <c r="P85" s="57">
        <v>0.9</v>
      </c>
      <c r="Q85" s="57">
        <v>0.9</v>
      </c>
      <c r="R85" s="57">
        <v>0.9</v>
      </c>
      <c r="S85" s="57">
        <v>0.9</v>
      </c>
      <c r="T85" s="57">
        <v>0.9</v>
      </c>
      <c r="U85" s="57">
        <v>0.9</v>
      </c>
      <c r="V85" s="58">
        <v>0.9</v>
      </c>
      <c r="W85" s="58"/>
      <c r="X85" s="72"/>
      <c r="Y85" s="72"/>
      <c r="Z85" s="72"/>
      <c r="AA85" s="72"/>
    </row>
    <row r="86" spans="1:27" s="53" customFormat="1" ht="15" hidden="1" customHeight="1">
      <c r="A86" s="402"/>
      <c r="B86" s="403"/>
      <c r="C86" s="70"/>
      <c r="D86" s="70"/>
      <c r="E86" s="68"/>
      <c r="F86" s="71"/>
      <c r="G86" s="71"/>
      <c r="H86" s="71"/>
      <c r="I86" s="60"/>
      <c r="J86" s="59"/>
      <c r="K86" s="59" t="s">
        <v>30</v>
      </c>
      <c r="L86" s="61">
        <v>0.9778</v>
      </c>
      <c r="M86" s="61">
        <v>0.9798</v>
      </c>
      <c r="N86" s="61">
        <v>0.97</v>
      </c>
      <c r="O86" s="61">
        <v>0.96</v>
      </c>
      <c r="P86" s="61">
        <v>0.95</v>
      </c>
      <c r="Q86" s="61">
        <v>0.95</v>
      </c>
      <c r="R86" s="61">
        <v>0.95</v>
      </c>
      <c r="S86" s="61">
        <v>0.94</v>
      </c>
      <c r="T86" s="61">
        <v>0.94</v>
      </c>
      <c r="U86" s="61">
        <v>0.94</v>
      </c>
      <c r="V86" s="62">
        <v>0.93</v>
      </c>
      <c r="W86" s="62"/>
      <c r="X86" s="73"/>
      <c r="Y86" s="73"/>
      <c r="Z86" s="73"/>
      <c r="AA86" s="73"/>
    </row>
  </sheetData>
  <mergeCells count="502">
    <mergeCell ref="Y83:Y84"/>
    <mergeCell ref="Z83:Z84"/>
    <mergeCell ref="AA83:AA84"/>
    <mergeCell ref="Y77:Y78"/>
    <mergeCell ref="Z77:Z78"/>
    <mergeCell ref="AA77:AA78"/>
    <mergeCell ref="X79:X80"/>
    <mergeCell ref="Y79:Y80"/>
    <mergeCell ref="Z79:Z80"/>
    <mergeCell ref="AA79:AA80"/>
    <mergeCell ref="X81:X82"/>
    <mergeCell ref="Y81:Y82"/>
    <mergeCell ref="Z81:Z82"/>
    <mergeCell ref="AA81:AA82"/>
    <mergeCell ref="Y71:Y72"/>
    <mergeCell ref="Z71:Z72"/>
    <mergeCell ref="AA71:AA72"/>
    <mergeCell ref="X73:X74"/>
    <mergeCell ref="Y73:Y74"/>
    <mergeCell ref="Z73:Z74"/>
    <mergeCell ref="AA73:AA74"/>
    <mergeCell ref="X75:X76"/>
    <mergeCell ref="Y75:Y76"/>
    <mergeCell ref="Z75:Z76"/>
    <mergeCell ref="AA75:AA76"/>
    <mergeCell ref="Y65:Y66"/>
    <mergeCell ref="Z65:Z66"/>
    <mergeCell ref="AA65:AA66"/>
    <mergeCell ref="X67:X68"/>
    <mergeCell ref="Y67:Y68"/>
    <mergeCell ref="Z67:Z68"/>
    <mergeCell ref="AA67:AA68"/>
    <mergeCell ref="X69:X70"/>
    <mergeCell ref="Y69:Y70"/>
    <mergeCell ref="Z69:Z70"/>
    <mergeCell ref="AA69:AA70"/>
    <mergeCell ref="Y59:Y60"/>
    <mergeCell ref="Z59:Z60"/>
    <mergeCell ref="AA59:AA60"/>
    <mergeCell ref="X61:X62"/>
    <mergeCell ref="Y61:Y62"/>
    <mergeCell ref="Z61:Z62"/>
    <mergeCell ref="AA61:AA62"/>
    <mergeCell ref="X63:X64"/>
    <mergeCell ref="Y63:Y64"/>
    <mergeCell ref="Z63:Z64"/>
    <mergeCell ref="AA63:AA64"/>
    <mergeCell ref="Y53:Y54"/>
    <mergeCell ref="Z53:Z54"/>
    <mergeCell ref="AA53:AA54"/>
    <mergeCell ref="X55:X56"/>
    <mergeCell ref="Y55:Y56"/>
    <mergeCell ref="Z55:Z56"/>
    <mergeCell ref="AA55:AA56"/>
    <mergeCell ref="X57:X58"/>
    <mergeCell ref="Y57:Y58"/>
    <mergeCell ref="Z57:Z58"/>
    <mergeCell ref="AA57:AA58"/>
    <mergeCell ref="Y47:Y48"/>
    <mergeCell ref="Z47:Z48"/>
    <mergeCell ref="AA47:AA48"/>
    <mergeCell ref="X49:X50"/>
    <mergeCell ref="Y49:Y50"/>
    <mergeCell ref="Z49:Z50"/>
    <mergeCell ref="AA49:AA50"/>
    <mergeCell ref="X51:X52"/>
    <mergeCell ref="Y51:Y52"/>
    <mergeCell ref="Z51:Z52"/>
    <mergeCell ref="AA51:AA52"/>
    <mergeCell ref="Y41:Y42"/>
    <mergeCell ref="Z41:Z42"/>
    <mergeCell ref="AA41:AA42"/>
    <mergeCell ref="X43:X44"/>
    <mergeCell ref="Y43:Y44"/>
    <mergeCell ref="Z43:Z44"/>
    <mergeCell ref="AA43:AA44"/>
    <mergeCell ref="X45:X46"/>
    <mergeCell ref="Y45:Y46"/>
    <mergeCell ref="Z45:Z46"/>
    <mergeCell ref="AA45:AA46"/>
    <mergeCell ref="Y35:Y36"/>
    <mergeCell ref="Z35:Z36"/>
    <mergeCell ref="AA35:AA36"/>
    <mergeCell ref="X37:X38"/>
    <mergeCell ref="Y37:Y38"/>
    <mergeCell ref="Z37:Z38"/>
    <mergeCell ref="AA37:AA38"/>
    <mergeCell ref="X39:X40"/>
    <mergeCell ref="Y39:Y40"/>
    <mergeCell ref="Z39:Z40"/>
    <mergeCell ref="AA39:AA40"/>
    <mergeCell ref="Y29:Y30"/>
    <mergeCell ref="Z29:Z30"/>
    <mergeCell ref="AA29:AA30"/>
    <mergeCell ref="X31:X32"/>
    <mergeCell ref="Y31:Y32"/>
    <mergeCell ref="Z31:Z32"/>
    <mergeCell ref="AA31:AA32"/>
    <mergeCell ref="X33:X34"/>
    <mergeCell ref="Y33:Y34"/>
    <mergeCell ref="Z33:Z34"/>
    <mergeCell ref="AA33:AA34"/>
    <mergeCell ref="Y23:Y24"/>
    <mergeCell ref="Z23:Z24"/>
    <mergeCell ref="AA23:AA24"/>
    <mergeCell ref="X25:X26"/>
    <mergeCell ref="Y25:Y26"/>
    <mergeCell ref="Z25:Z26"/>
    <mergeCell ref="AA25:AA26"/>
    <mergeCell ref="X27:X28"/>
    <mergeCell ref="Y27:Y28"/>
    <mergeCell ref="Z27:Z28"/>
    <mergeCell ref="AA27:AA28"/>
    <mergeCell ref="Z17:Z18"/>
    <mergeCell ref="AA17:AA18"/>
    <mergeCell ref="X19:X20"/>
    <mergeCell ref="Y19:Y20"/>
    <mergeCell ref="Z19:Z20"/>
    <mergeCell ref="AA19:AA20"/>
    <mergeCell ref="X21:X22"/>
    <mergeCell ref="Y21:Y22"/>
    <mergeCell ref="Z21:Z22"/>
    <mergeCell ref="AA21:AA22"/>
    <mergeCell ref="J69:J70"/>
    <mergeCell ref="J71:J72"/>
    <mergeCell ref="J73:J74"/>
    <mergeCell ref="J75:J76"/>
    <mergeCell ref="J77:J78"/>
    <mergeCell ref="J79:J80"/>
    <mergeCell ref="J81:J82"/>
    <mergeCell ref="J83:J84"/>
    <mergeCell ref="X9:X10"/>
    <mergeCell ref="X11:X12"/>
    <mergeCell ref="X13:X14"/>
    <mergeCell ref="X15:X16"/>
    <mergeCell ref="X17:X18"/>
    <mergeCell ref="X23:X24"/>
    <mergeCell ref="X29:X30"/>
    <mergeCell ref="X35:X36"/>
    <mergeCell ref="X41:X42"/>
    <mergeCell ref="X47:X48"/>
    <mergeCell ref="X53:X54"/>
    <mergeCell ref="X59:X60"/>
    <mergeCell ref="X65:X66"/>
    <mergeCell ref="X71:X72"/>
    <mergeCell ref="X77:X78"/>
    <mergeCell ref="X83:X84"/>
    <mergeCell ref="J51:J52"/>
    <mergeCell ref="J53:J54"/>
    <mergeCell ref="J55:J56"/>
    <mergeCell ref="J57:J58"/>
    <mergeCell ref="J59:J60"/>
    <mergeCell ref="J61:J62"/>
    <mergeCell ref="J63:J64"/>
    <mergeCell ref="J65:J66"/>
    <mergeCell ref="J67:J68"/>
    <mergeCell ref="I81:I82"/>
    <mergeCell ref="I83:I84"/>
    <mergeCell ref="J9:J10"/>
    <mergeCell ref="J11:J12"/>
    <mergeCell ref="J13:J14"/>
    <mergeCell ref="J15:J16"/>
    <mergeCell ref="J17:J18"/>
    <mergeCell ref="J19:J20"/>
    <mergeCell ref="J21:J22"/>
    <mergeCell ref="J23:J24"/>
    <mergeCell ref="J25:J26"/>
    <mergeCell ref="J27:J28"/>
    <mergeCell ref="J29:J30"/>
    <mergeCell ref="J31:J32"/>
    <mergeCell ref="J33:J34"/>
    <mergeCell ref="J35:J36"/>
    <mergeCell ref="J37:J38"/>
    <mergeCell ref="J39:J40"/>
    <mergeCell ref="J41:J42"/>
    <mergeCell ref="J43:J44"/>
    <mergeCell ref="J45:J46"/>
    <mergeCell ref="J47:J48"/>
    <mergeCell ref="J49:J50"/>
    <mergeCell ref="I63:I64"/>
    <mergeCell ref="I79:I80"/>
    <mergeCell ref="I47:I48"/>
    <mergeCell ref="I49:I50"/>
    <mergeCell ref="I51:I52"/>
    <mergeCell ref="I53:I54"/>
    <mergeCell ref="I55:I56"/>
    <mergeCell ref="I57:I58"/>
    <mergeCell ref="I59:I60"/>
    <mergeCell ref="I61:I62"/>
    <mergeCell ref="I43:I44"/>
    <mergeCell ref="I45:I46"/>
    <mergeCell ref="I65:I66"/>
    <mergeCell ref="I67:I68"/>
    <mergeCell ref="I69:I70"/>
    <mergeCell ref="I71:I72"/>
    <mergeCell ref="I73:I74"/>
    <mergeCell ref="I75:I76"/>
    <mergeCell ref="I77:I78"/>
    <mergeCell ref="H71:H72"/>
    <mergeCell ref="H73:H74"/>
    <mergeCell ref="H75:H76"/>
    <mergeCell ref="H77:H78"/>
    <mergeCell ref="H79:H80"/>
    <mergeCell ref="H81:H82"/>
    <mergeCell ref="H83:H84"/>
    <mergeCell ref="I9:I10"/>
    <mergeCell ref="I11:I12"/>
    <mergeCell ref="I13:I14"/>
    <mergeCell ref="I15:I16"/>
    <mergeCell ref="I17:I18"/>
    <mergeCell ref="I19:I20"/>
    <mergeCell ref="I21:I22"/>
    <mergeCell ref="I23:I24"/>
    <mergeCell ref="I25:I26"/>
    <mergeCell ref="I27:I28"/>
    <mergeCell ref="I29:I30"/>
    <mergeCell ref="I31:I32"/>
    <mergeCell ref="I33:I34"/>
    <mergeCell ref="I35:I36"/>
    <mergeCell ref="I37:I38"/>
    <mergeCell ref="I39:I40"/>
    <mergeCell ref="I41:I42"/>
    <mergeCell ref="H41:H42"/>
    <mergeCell ref="H43:H44"/>
    <mergeCell ref="H45:H46"/>
    <mergeCell ref="H47:H48"/>
    <mergeCell ref="H49:H50"/>
    <mergeCell ref="H51:H52"/>
    <mergeCell ref="H53:H54"/>
    <mergeCell ref="H55:H56"/>
    <mergeCell ref="G69:G70"/>
    <mergeCell ref="G53:G54"/>
    <mergeCell ref="G55:G56"/>
    <mergeCell ref="G57:G58"/>
    <mergeCell ref="G59:G60"/>
    <mergeCell ref="G61:G62"/>
    <mergeCell ref="G63:G64"/>
    <mergeCell ref="G65:G66"/>
    <mergeCell ref="G67:G68"/>
    <mergeCell ref="H57:H58"/>
    <mergeCell ref="H59:H60"/>
    <mergeCell ref="H61:H62"/>
    <mergeCell ref="H63:H64"/>
    <mergeCell ref="H65:H66"/>
    <mergeCell ref="H67:H68"/>
    <mergeCell ref="H69:H70"/>
    <mergeCell ref="G71:G72"/>
    <mergeCell ref="G73:G74"/>
    <mergeCell ref="G75:G76"/>
    <mergeCell ref="G77:G78"/>
    <mergeCell ref="G79:G80"/>
    <mergeCell ref="G81:G82"/>
    <mergeCell ref="G83:G84"/>
    <mergeCell ref="H9:H10"/>
    <mergeCell ref="H11:H12"/>
    <mergeCell ref="H13:H14"/>
    <mergeCell ref="H15:H16"/>
    <mergeCell ref="H17:H18"/>
    <mergeCell ref="H19:H20"/>
    <mergeCell ref="H21:H22"/>
    <mergeCell ref="H23:H24"/>
    <mergeCell ref="H25:H26"/>
    <mergeCell ref="H27:H28"/>
    <mergeCell ref="H29:H30"/>
    <mergeCell ref="H31:H32"/>
    <mergeCell ref="H33:H34"/>
    <mergeCell ref="H35:H36"/>
    <mergeCell ref="H37:H38"/>
    <mergeCell ref="H39:H40"/>
    <mergeCell ref="G51:G52"/>
    <mergeCell ref="F81:F82"/>
    <mergeCell ref="F83:F84"/>
    <mergeCell ref="G9:G10"/>
    <mergeCell ref="G11:G12"/>
    <mergeCell ref="G13:G14"/>
    <mergeCell ref="G15:G16"/>
    <mergeCell ref="G17:G18"/>
    <mergeCell ref="G19:G20"/>
    <mergeCell ref="G21:G22"/>
    <mergeCell ref="G23:G24"/>
    <mergeCell ref="G25:G26"/>
    <mergeCell ref="G27:G28"/>
    <mergeCell ref="G29:G30"/>
    <mergeCell ref="G31:G32"/>
    <mergeCell ref="G33:G34"/>
    <mergeCell ref="G35:G36"/>
    <mergeCell ref="G37:G38"/>
    <mergeCell ref="G39:G40"/>
    <mergeCell ref="G41:G42"/>
    <mergeCell ref="G43:G44"/>
    <mergeCell ref="G45:G46"/>
    <mergeCell ref="G47:G48"/>
    <mergeCell ref="G49:G50"/>
    <mergeCell ref="F63:F64"/>
    <mergeCell ref="F65:F66"/>
    <mergeCell ref="F67:F68"/>
    <mergeCell ref="F69:F70"/>
    <mergeCell ref="F71:F72"/>
    <mergeCell ref="F73:F74"/>
    <mergeCell ref="F75:F76"/>
    <mergeCell ref="F77:F78"/>
    <mergeCell ref="F79:F80"/>
    <mergeCell ref="F47:F48"/>
    <mergeCell ref="F49:F50"/>
    <mergeCell ref="F51:F52"/>
    <mergeCell ref="F53:F54"/>
    <mergeCell ref="F55:F56"/>
    <mergeCell ref="F57:F58"/>
    <mergeCell ref="F59:F60"/>
    <mergeCell ref="F61:F62"/>
    <mergeCell ref="E75:E76"/>
    <mergeCell ref="E77:E78"/>
    <mergeCell ref="E79:E80"/>
    <mergeCell ref="E81:E82"/>
    <mergeCell ref="E83:E84"/>
    <mergeCell ref="F9:F10"/>
    <mergeCell ref="F11:F12"/>
    <mergeCell ref="F13:F14"/>
    <mergeCell ref="F15:F16"/>
    <mergeCell ref="F17:F18"/>
    <mergeCell ref="F19:F20"/>
    <mergeCell ref="F21:F22"/>
    <mergeCell ref="F23:F24"/>
    <mergeCell ref="F25:F26"/>
    <mergeCell ref="F27:F28"/>
    <mergeCell ref="F29:F30"/>
    <mergeCell ref="F31:F32"/>
    <mergeCell ref="F33:F34"/>
    <mergeCell ref="F35:F36"/>
    <mergeCell ref="F37:F38"/>
    <mergeCell ref="F39:F40"/>
    <mergeCell ref="F41:F42"/>
    <mergeCell ref="F43:F44"/>
    <mergeCell ref="F45:F46"/>
    <mergeCell ref="E57:E58"/>
    <mergeCell ref="E59:E60"/>
    <mergeCell ref="E61:E62"/>
    <mergeCell ref="E63:E64"/>
    <mergeCell ref="E65:E66"/>
    <mergeCell ref="E67:E68"/>
    <mergeCell ref="E69:E70"/>
    <mergeCell ref="E71:E72"/>
    <mergeCell ref="E73:E74"/>
    <mergeCell ref="E51:E52"/>
    <mergeCell ref="E53:E54"/>
    <mergeCell ref="E55:E56"/>
    <mergeCell ref="C19:C20"/>
    <mergeCell ref="E23:E24"/>
    <mergeCell ref="E21:E22"/>
    <mergeCell ref="E19:E20"/>
    <mergeCell ref="C21:C22"/>
    <mergeCell ref="D49:D50"/>
    <mergeCell ref="D51:D52"/>
    <mergeCell ref="D53:D54"/>
    <mergeCell ref="D55:D56"/>
    <mergeCell ref="C39:C40"/>
    <mergeCell ref="C37:C38"/>
    <mergeCell ref="C35:C36"/>
    <mergeCell ref="C33:C34"/>
    <mergeCell ref="E33:E34"/>
    <mergeCell ref="E31:E32"/>
    <mergeCell ref="C31:C32"/>
    <mergeCell ref="C7:C8"/>
    <mergeCell ref="C11:C12"/>
    <mergeCell ref="C13:C14"/>
    <mergeCell ref="C15:C16"/>
    <mergeCell ref="C17:C18"/>
    <mergeCell ref="C29:C30"/>
    <mergeCell ref="C27:C28"/>
    <mergeCell ref="C25:C26"/>
    <mergeCell ref="C23:C24"/>
    <mergeCell ref="C9:C10"/>
    <mergeCell ref="C79:C80"/>
    <mergeCell ref="C81:C82"/>
    <mergeCell ref="C83:C84"/>
    <mergeCell ref="C59:C60"/>
    <mergeCell ref="C61:C62"/>
    <mergeCell ref="C63:C64"/>
    <mergeCell ref="C65:C66"/>
    <mergeCell ref="C67:C68"/>
    <mergeCell ref="C69:C70"/>
    <mergeCell ref="C71:C72"/>
    <mergeCell ref="C73:C74"/>
    <mergeCell ref="C75:C76"/>
    <mergeCell ref="C77:C78"/>
    <mergeCell ref="C57:C58"/>
    <mergeCell ref="C55:C56"/>
    <mergeCell ref="C53:C54"/>
    <mergeCell ref="C51:C52"/>
    <mergeCell ref="C49:C50"/>
    <mergeCell ref="C47:C48"/>
    <mergeCell ref="C45:C46"/>
    <mergeCell ref="C43:C44"/>
    <mergeCell ref="C41:C42"/>
    <mergeCell ref="D63:D64"/>
    <mergeCell ref="D65:D66"/>
    <mergeCell ref="D5:D6"/>
    <mergeCell ref="D7:D8"/>
    <mergeCell ref="E9:E10"/>
    <mergeCell ref="E11:E12"/>
    <mergeCell ref="D13:D14"/>
    <mergeCell ref="D15:D16"/>
    <mergeCell ref="D17:D18"/>
    <mergeCell ref="D19:D20"/>
    <mergeCell ref="D21:D22"/>
    <mergeCell ref="E17:E18"/>
    <mergeCell ref="E15:E16"/>
    <mergeCell ref="E13:E14"/>
    <mergeCell ref="D11:D12"/>
    <mergeCell ref="D9:D10"/>
    <mergeCell ref="E39:E40"/>
    <mergeCell ref="E37:E38"/>
    <mergeCell ref="E35:E36"/>
    <mergeCell ref="E41:E42"/>
    <mergeCell ref="E43:E44"/>
    <mergeCell ref="E45:E46"/>
    <mergeCell ref="E47:E48"/>
    <mergeCell ref="E49:E50"/>
    <mergeCell ref="F5:F6"/>
    <mergeCell ref="F7:F8"/>
    <mergeCell ref="C4:AA4"/>
    <mergeCell ref="A5:B6"/>
    <mergeCell ref="C5:C6"/>
    <mergeCell ref="E5:E6"/>
    <mergeCell ref="G5:G6"/>
    <mergeCell ref="E7:E8"/>
    <mergeCell ref="Y5:Y6"/>
    <mergeCell ref="Z5:Z6"/>
    <mergeCell ref="AA5:AA6"/>
    <mergeCell ref="A7:B22"/>
    <mergeCell ref="H7:H8"/>
    <mergeCell ref="S5:S6"/>
    <mergeCell ref="T5:T6"/>
    <mergeCell ref="U5:U6"/>
    <mergeCell ref="V5:V6"/>
    <mergeCell ref="W5:W6"/>
    <mergeCell ref="X5:X6"/>
    <mergeCell ref="M5:M6"/>
    <mergeCell ref="N5:N6"/>
    <mergeCell ref="O5:O6"/>
    <mergeCell ref="P5:P6"/>
    <mergeCell ref="Y17:Y18"/>
    <mergeCell ref="Y15:Y16"/>
    <mergeCell ref="Z15:Z16"/>
    <mergeCell ref="AA15:AA16"/>
    <mergeCell ref="Q5:Q6"/>
    <mergeCell ref="R5:R6"/>
    <mergeCell ref="H5:H6"/>
    <mergeCell ref="I5:I6"/>
    <mergeCell ref="J5:J6"/>
    <mergeCell ref="K5:K6"/>
    <mergeCell ref="L5:L6"/>
    <mergeCell ref="X7:X8"/>
    <mergeCell ref="Y7:Y8"/>
    <mergeCell ref="A47:B58"/>
    <mergeCell ref="A23:B46"/>
    <mergeCell ref="A59:B70"/>
    <mergeCell ref="A71:B76"/>
    <mergeCell ref="A79:B86"/>
    <mergeCell ref="A77:B78"/>
    <mergeCell ref="Z7:Z8"/>
    <mergeCell ref="AA7:AA8"/>
    <mergeCell ref="G7:G8"/>
    <mergeCell ref="I7:I8"/>
    <mergeCell ref="J7:J8"/>
    <mergeCell ref="E29:E30"/>
    <mergeCell ref="E27:E28"/>
    <mergeCell ref="E25:E26"/>
    <mergeCell ref="Y9:Y10"/>
    <mergeCell ref="Z9:Z10"/>
    <mergeCell ref="AA9:AA10"/>
    <mergeCell ref="Y11:Y12"/>
    <mergeCell ref="Z11:Z12"/>
    <mergeCell ref="AA11:AA12"/>
    <mergeCell ref="Y13:Y14"/>
    <mergeCell ref="Z13:Z14"/>
    <mergeCell ref="AA13:AA14"/>
    <mergeCell ref="D79:D80"/>
    <mergeCell ref="D81:D82"/>
    <mergeCell ref="D83:D84"/>
    <mergeCell ref="D23:D24"/>
    <mergeCell ref="D25:D26"/>
    <mergeCell ref="D27:D28"/>
    <mergeCell ref="D29:D30"/>
    <mergeCell ref="D31:D32"/>
    <mergeCell ref="D33:D34"/>
    <mergeCell ref="D35:D36"/>
    <mergeCell ref="D37:D38"/>
    <mergeCell ref="D39:D40"/>
    <mergeCell ref="D41:D42"/>
    <mergeCell ref="D43:D44"/>
    <mergeCell ref="D45:D46"/>
    <mergeCell ref="D47:D48"/>
    <mergeCell ref="D67:D68"/>
    <mergeCell ref="D69:D70"/>
    <mergeCell ref="D71:D72"/>
    <mergeCell ref="D73:D74"/>
    <mergeCell ref="D75:D76"/>
    <mergeCell ref="D77:D78"/>
    <mergeCell ref="D57:D58"/>
    <mergeCell ref="D59:D60"/>
    <mergeCell ref="D61:D62"/>
  </mergeCells>
  <conditionalFormatting sqref="C7 E7:J7 C9 E9:J9 C11 E11:J11 C13 E13:J13 C15 E15:J15 C17 E17:J17 C19 E19:J19 C21 E21:J21 C23 E23:J23 C25 E25:J25 C27 E27:J27 C29 E29:J29 C31 E31:J31 C33 E33:J33 C35 E35:J35 C37 E37:J37 C39 E39:J39 C41 E41:J41 C43 E43:J43 C45 E45:J45 C47 E47:J47 C49 E49:J49 C51 E51:J51 C53 E53:J53 C55 E55:J55 C57 E57:J57 C59 E59:J59 C61 E61:J61 C63 E63:J63 C65 E65:J65 C67 E67:J67 C69 E69:J69 C71 E71:J71 C73 E73:J73 C75 E75:J75 C77 E77:J77 C79 E79:J79 C81 E81:J81 C83 E83:J83">
    <cfRule type="containsBlanks" dxfId="688" priority="75">
      <formula>LEN(TRIM(C7))=0</formula>
    </cfRule>
  </conditionalFormatting>
  <conditionalFormatting sqref="D7:D73">
    <cfRule type="containsBlanks" dxfId="687" priority="2">
      <formula>LEN(TRIM(D7))=0</formula>
    </cfRule>
  </conditionalFormatting>
  <conditionalFormatting sqref="D75:D84">
    <cfRule type="containsBlanks" dxfId="686" priority="1">
      <formula>LEN(TRIM(D75))=0</formula>
    </cfRule>
  </conditionalFormatting>
  <conditionalFormatting sqref="I85:I86">
    <cfRule type="expression" dxfId="685" priority="126">
      <formula>I85&lt;Q85</formula>
    </cfRule>
    <cfRule type="expression" dxfId="684" priority="127">
      <formula>I85&gt;=Q85</formula>
    </cfRule>
  </conditionalFormatting>
  <conditionalFormatting sqref="L8:W8 L10:W10 L12:W12 L14:W14 L16:W16 L18:W18 L20:W20 L22:W22 L24:W24 L26:W26 L28:W28 L30:W30 L32:W32 L34:W34 L36:W36 L38:W38 L40:W40 L42:W42 L44:W44 L46:W46 L48:W48 L50:W50 L52:W52 L54:W54 L56:W56 L58:W58 L60:W60 L62:W62 L64:W64 L66:W66 L68:W68 L70:W70 L72:W72 L74:W74 L76:W76 L78:W78 L80:W80 L82:W82 L84:W84">
    <cfRule type="containsBlanks" dxfId="683" priority="5">
      <formula>LEN(TRIM(L8))=0</formula>
    </cfRule>
    <cfRule type="expression" dxfId="682" priority="22">
      <formula>AND(OR($I7="Higher the better", $I7="Higher the Better"), L8&gt;=L7)</formula>
    </cfRule>
    <cfRule type="expression" dxfId="681" priority="23">
      <formula>AND(OR($I7="Higher the better", $I7="Higher the Better"), L8&lt;L7)</formula>
    </cfRule>
    <cfRule type="expression" dxfId="680" priority="24">
      <formula>AND(OR($I7="Lower the better", $I7="Lower the Better"), L8&lt;=L7)</formula>
    </cfRule>
    <cfRule type="expression" dxfId="679" priority="25">
      <formula>AND(OR($I7="Lower the better", $I7="Lower the Better"), L8&gt;L7)</formula>
    </cfRule>
  </conditionalFormatting>
  <conditionalFormatting sqref="L86:W86">
    <cfRule type="containsBlanks" dxfId="678" priority="77">
      <formula>LEN(TRIM(L86))=0</formula>
    </cfRule>
    <cfRule type="expression" dxfId="677" priority="78">
      <formula>L86&gt;=L85</formula>
    </cfRule>
    <cfRule type="expression" dxfId="676" priority="79">
      <formula>L86&lt;L85</formula>
    </cfRule>
  </conditionalFormatting>
  <dataValidations count="4">
    <dataValidation type="list" allowBlank="1" showInputMessage="1" showErrorMessage="1" sqref="D2" xr:uid="{99230398-8309-4799-B156-7723638B07A8}">
      <formula1>"Jan-2026, Feb-2026, Mar-2026, Apr-2026, May-2026, Jun-2026, Jul-2026, Aug-2026, Sep-2026, Oct-2026, Nov-2026, Dec-2026"</formula1>
    </dataValidation>
    <dataValidation type="list" allowBlank="1" showInputMessage="1" showErrorMessage="1" sqref="H77:H78" xr:uid="{78106ACA-78B2-4A2B-A96E-098248D21C6F}">
      <formula1>"%, Mn, No., "</formula1>
    </dataValidation>
    <dataValidation type="list" allowBlank="1" showInputMessage="1" showErrorMessage="1" sqref="J77:J78" xr:uid="{F6752F33-3CB1-477A-8ABD-AAE7ED591861}">
      <formula1>"Monthly, Quarterly, Half yearly"</formula1>
    </dataValidation>
    <dataValidation type="list" allowBlank="1" showInputMessage="1" showErrorMessage="1" sqref="I77:I78" xr:uid="{7E115E94-C5C4-431B-89F8-0A548ABF9120}">
      <formula1>"Higher the better, Lower the better"</formula1>
    </dataValidation>
  </dataValidations>
  <pageMargins left="0.7" right="0.7" top="0.75" bottom="0.75" header="0.3" footer="0.3"/>
  <pageSetup orientation="portrait" r:id="rId1"/>
  <customProperties>
    <customPr name="_pios_id" r:id="rId2"/>
  </customPropertie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8E90-12DB-4F2F-8F31-B364FE0ED963}">
  <dimension ref="A1:T156"/>
  <sheetViews>
    <sheetView workbookViewId="0">
      <pane xSplit="1" topLeftCell="B1" activePane="topRight" state="frozen"/>
      <selection pane="topRight"/>
    </sheetView>
  </sheetViews>
  <sheetFormatPr defaultRowHeight="14.45"/>
  <cols>
    <col min="1" max="1" width="42.5703125" bestFit="1" customWidth="1"/>
    <col min="2" max="2" width="35.5703125" customWidth="1"/>
    <col min="3" max="3" width="11" customWidth="1"/>
    <col min="4" max="4" width="9.5703125" customWidth="1"/>
    <col min="6" max="6" width="17.42578125" customWidth="1"/>
    <col min="7" max="7" width="11.5703125" customWidth="1"/>
    <col min="8" max="8" width="14.42578125" customWidth="1"/>
    <col min="9" max="9" width="10.42578125" customWidth="1"/>
    <col min="10" max="11" width="10.5703125" customWidth="1"/>
    <col min="12" max="12" width="10.42578125" customWidth="1"/>
    <col min="13" max="13" width="10.5703125" customWidth="1"/>
    <col min="14" max="14" width="10.42578125" customWidth="1"/>
    <col min="15" max="15" width="9.5703125" customWidth="1"/>
    <col min="16" max="17" width="10.5703125" customWidth="1"/>
    <col min="18" max="18" width="10.42578125" customWidth="1"/>
    <col min="19" max="20" width="10.5703125" customWidth="1"/>
  </cols>
  <sheetData>
    <row r="1" spans="1:20" ht="18.600000000000001">
      <c r="A1" s="263" t="s">
        <v>56</v>
      </c>
    </row>
    <row r="3" spans="1:20" ht="15" customHeight="1">
      <c r="A3" s="13" t="s">
        <v>57</v>
      </c>
    </row>
    <row r="4" spans="1:20">
      <c r="A4" t="s">
        <v>58</v>
      </c>
      <c r="B4" t="s">
        <v>59</v>
      </c>
      <c r="C4" t="s">
        <v>5</v>
      </c>
      <c r="D4" t="s">
        <v>60</v>
      </c>
      <c r="E4" t="s">
        <v>7</v>
      </c>
      <c r="F4" t="s">
        <v>61</v>
      </c>
      <c r="G4" t="s">
        <v>9</v>
      </c>
      <c r="H4" t="s">
        <v>62</v>
      </c>
      <c r="I4" t="s">
        <v>63</v>
      </c>
      <c r="J4" t="s">
        <v>64</v>
      </c>
      <c r="K4" t="s">
        <v>65</v>
      </c>
      <c r="L4" t="s">
        <v>66</v>
      </c>
      <c r="M4" t="s">
        <v>67</v>
      </c>
      <c r="N4" t="s">
        <v>68</v>
      </c>
      <c r="O4" t="s">
        <v>69</v>
      </c>
      <c r="P4" t="s">
        <v>70</v>
      </c>
      <c r="Q4" t="s">
        <v>71</v>
      </c>
      <c r="R4" t="s">
        <v>72</v>
      </c>
      <c r="S4" t="s">
        <v>73</v>
      </c>
      <c r="T4" t="s">
        <v>74</v>
      </c>
    </row>
    <row r="5" spans="1:20" ht="15" customHeight="1">
      <c r="A5" t="str">
        <f>'1.Quality'!A20</f>
        <v>% CAPA implementation Tasks on time</v>
      </c>
      <c r="B5" t="str">
        <f>'1.Quality'!B20</f>
        <v>Number of actions completed without extension / Number of CAPA actions planned in that month as per Plan</v>
      </c>
      <c r="C5" t="str">
        <f>'1.Quality'!C20</f>
        <v>&gt;</v>
      </c>
      <c r="D5">
        <f>'1.Quality'!D20</f>
        <v>95</v>
      </c>
      <c r="E5" t="str">
        <f>'1.Quality'!E20</f>
        <v>%</v>
      </c>
      <c r="F5" t="str">
        <f>'1.Quality'!F20</f>
        <v>Higher the better</v>
      </c>
      <c r="G5" t="str">
        <f>'1.Quality'!G20</f>
        <v>Monthly</v>
      </c>
      <c r="H5" t="str">
        <f>IF('1.Quality'!H20="","",'1.Quality'!H20)</f>
        <v>Target</v>
      </c>
      <c r="I5" s="264">
        <f>IF('1.Quality'!I20="","",'1.Quality'!I20)</f>
        <v>0.95</v>
      </c>
      <c r="J5" s="264">
        <f>IF('1.Quality'!J20="","",'1.Quality'!J20)</f>
        <v>0.95</v>
      </c>
      <c r="K5" s="264">
        <f>IF('1.Quality'!K20="","",'1.Quality'!K20)</f>
        <v>0.95</v>
      </c>
      <c r="L5" s="264">
        <f>IF('1.Quality'!L20="","",'1.Quality'!L20)</f>
        <v>0.95</v>
      </c>
      <c r="M5" s="264">
        <f>IF('1.Quality'!M20="","",'1.Quality'!M20)</f>
        <v>0.95</v>
      </c>
      <c r="N5" s="264">
        <f>IF('1.Quality'!N20="","",'1.Quality'!N20)</f>
        <v>0.95</v>
      </c>
      <c r="O5" s="264">
        <f>IF('1.Quality'!O20="","",'1.Quality'!O20)</f>
        <v>0.95</v>
      </c>
      <c r="P5" s="264">
        <f>IF('1.Quality'!P20="","",'1.Quality'!P20)</f>
        <v>0.95</v>
      </c>
      <c r="Q5" s="264">
        <f>IF('1.Quality'!Q20="","",'1.Quality'!Q20)</f>
        <v>0.95</v>
      </c>
      <c r="R5" s="264">
        <f>IF('1.Quality'!R20="","",'1.Quality'!R20)</f>
        <v>0.95</v>
      </c>
      <c r="S5" s="264">
        <f>IF('1.Quality'!S20="","",'1.Quality'!S20)</f>
        <v>0.95</v>
      </c>
      <c r="T5" s="264">
        <f>IF('1.Quality'!T20="","",'1.Quality'!T20)</f>
        <v>0.95</v>
      </c>
    </row>
    <row r="6" spans="1:20">
      <c r="A6" t="str">
        <f>'1.Quality'!A20</f>
        <v>% CAPA implementation Tasks on time</v>
      </c>
      <c r="B6" t="str">
        <f>'1.Quality'!B20</f>
        <v>Number of actions completed without extension / Number of CAPA actions planned in that month as per Plan</v>
      </c>
      <c r="C6" t="str">
        <f>'1.Quality'!C20</f>
        <v>&gt;</v>
      </c>
      <c r="D6">
        <f>'1.Quality'!D20</f>
        <v>95</v>
      </c>
      <c r="E6" t="str">
        <f>'1.Quality'!E20</f>
        <v>%</v>
      </c>
      <c r="F6" t="str">
        <f>'1.Quality'!F20</f>
        <v>Higher the better</v>
      </c>
      <c r="G6" t="str">
        <f>'1.Quality'!G20</f>
        <v>Monthly</v>
      </c>
      <c r="H6" t="str">
        <f>IF('1.Quality'!H21="","",'1.Quality'!H21)</f>
        <v>Actual</v>
      </c>
      <c r="I6" s="264">
        <f>IF('1.Quality'!I21="","",'1.Quality'!I21)</f>
        <v>0.22</v>
      </c>
      <c r="J6" s="264">
        <f>IF('1.Quality'!J21="","",'1.Quality'!J21)</f>
        <v>0.4</v>
      </c>
      <c r="K6" s="264">
        <f>IF('1.Quality'!K21="","",'1.Quality'!K21)</f>
        <v>0.22</v>
      </c>
      <c r="L6" s="264">
        <f>IF('1.Quality'!L21="","",'1.Quality'!L21)</f>
        <v>0.4</v>
      </c>
      <c r="M6" s="264">
        <f>IF('1.Quality'!M21="","",'1.Quality'!M21)</f>
        <v>0.875</v>
      </c>
      <c r="N6" s="264">
        <f>IF('1.Quality'!N21="","",'1.Quality'!N21)</f>
        <v>0.3</v>
      </c>
      <c r="O6" s="264">
        <f>IF('1.Quality'!O21="","",'1.Quality'!O21)</f>
        <v>0.4</v>
      </c>
      <c r="P6" s="264">
        <f>IF('1.Quality'!P21="","",'1.Quality'!P21)</f>
        <v>0.83</v>
      </c>
      <c r="Q6" s="264" t="str">
        <f>IF('1.Quality'!Q21="","",'1.Quality'!Q21)</f>
        <v/>
      </c>
      <c r="R6" s="264" t="str">
        <f>IF('1.Quality'!R21="","",'1.Quality'!R21)</f>
        <v/>
      </c>
      <c r="S6" s="264" t="str">
        <f>IF('1.Quality'!S21="","",'1.Quality'!S21)</f>
        <v/>
      </c>
      <c r="T6" s="264" t="str">
        <f>IF('1.Quality'!T21="","",'1.Quality'!T21)</f>
        <v/>
      </c>
    </row>
    <row r="7" spans="1:20" ht="15" customHeight="1">
      <c r="A7" t="str">
        <f>'1.Quality'!A22</f>
        <v># of C&amp;R in pre- release(Track remaining C&amp;R)</v>
      </c>
      <c r="B7" t="str">
        <f>'1.Quality'!B22</f>
        <v># of C&amp;Rs waiting on C&amp;R initiation</v>
      </c>
      <c r="C7" t="str">
        <f>'1.Quality'!C22</f>
        <v>&lt;=</v>
      </c>
      <c r="D7">
        <f>'1.Quality'!D22</f>
        <v>10</v>
      </c>
      <c r="E7" t="str">
        <f>'1.Quality'!E22</f>
        <v>No.</v>
      </c>
      <c r="F7" t="str">
        <f>'1.Quality'!F22</f>
        <v>Lower the better</v>
      </c>
      <c r="G7" t="str">
        <f>'1.Quality'!G22</f>
        <v>Monthly</v>
      </c>
      <c r="H7" t="str">
        <f>IF('1.Quality'!H22="","",'1.Quality'!H22)</f>
        <v>Target</v>
      </c>
      <c r="I7">
        <f>IF('1.Quality'!I22="","",'1.Quality'!I22)</f>
        <v>6</v>
      </c>
      <c r="J7">
        <f>IF('1.Quality'!J22="","",'1.Quality'!J22)</f>
        <v>5</v>
      </c>
      <c r="K7">
        <f>IF('1.Quality'!K22="","",'1.Quality'!K22)</f>
        <v>5</v>
      </c>
      <c r="L7">
        <f>IF('1.Quality'!L22="","",'1.Quality'!L22)</f>
        <v>4</v>
      </c>
      <c r="M7">
        <f>IF('1.Quality'!M22="","",'1.Quality'!M22)</f>
        <v>4</v>
      </c>
      <c r="N7">
        <f>IF('1.Quality'!N22="","",'1.Quality'!N22)</f>
        <v>4</v>
      </c>
      <c r="O7">
        <f>IF('1.Quality'!O22="","",'1.Quality'!O22)</f>
        <v>4</v>
      </c>
      <c r="P7">
        <f>IF('1.Quality'!P22="","",'1.Quality'!P22)</f>
        <v>2</v>
      </c>
      <c r="Q7">
        <f>IF('1.Quality'!Q22="","",'1.Quality'!Q22)</f>
        <v>2</v>
      </c>
      <c r="R7">
        <f>IF('1.Quality'!R22="","",'1.Quality'!R22)</f>
        <v>0</v>
      </c>
      <c r="S7">
        <f>IF('1.Quality'!S22="","",'1.Quality'!S22)</f>
        <v>0</v>
      </c>
      <c r="T7">
        <f>IF('1.Quality'!T22="","",'1.Quality'!T22)</f>
        <v>0</v>
      </c>
    </row>
    <row r="8" spans="1:20">
      <c r="A8" t="str">
        <f>'1.Quality'!A22</f>
        <v># of C&amp;R in pre- release(Track remaining C&amp;R)</v>
      </c>
      <c r="B8" t="str">
        <f>'1.Quality'!B22</f>
        <v># of C&amp;Rs waiting on C&amp;R initiation</v>
      </c>
      <c r="C8" t="str">
        <f>'1.Quality'!C22</f>
        <v>&lt;=</v>
      </c>
      <c r="D8">
        <f>'1.Quality'!D22</f>
        <v>10</v>
      </c>
      <c r="E8" t="str">
        <f>'1.Quality'!E22</f>
        <v>No.</v>
      </c>
      <c r="F8" t="str">
        <f>'1.Quality'!F22</f>
        <v>Lower the better</v>
      </c>
      <c r="G8" t="str">
        <f>'1.Quality'!G22</f>
        <v>Monthly</v>
      </c>
      <c r="H8" t="str">
        <f>IF('1.Quality'!H23="","",'1.Quality'!H23)</f>
        <v>Actual</v>
      </c>
      <c r="I8">
        <f>IF('1.Quality'!I23="","",'1.Quality'!I23)</f>
        <v>6</v>
      </c>
      <c r="J8">
        <f>IF('1.Quality'!J23="","",'1.Quality'!J23)</f>
        <v>5</v>
      </c>
      <c r="K8">
        <f>IF('1.Quality'!K23="","",'1.Quality'!K23)</f>
        <v>5</v>
      </c>
      <c r="L8">
        <f>IF('1.Quality'!L23="","",'1.Quality'!L23)</f>
        <v>4</v>
      </c>
      <c r="M8">
        <f>IF('1.Quality'!M23="","",'1.Quality'!M23)</f>
        <v>4</v>
      </c>
      <c r="N8">
        <f>IF('1.Quality'!N23="","",'1.Quality'!N23)</f>
        <v>4</v>
      </c>
      <c r="O8">
        <f>IF('1.Quality'!O23="","",'1.Quality'!O23)</f>
        <v>4</v>
      </c>
      <c r="P8">
        <f>IF('1.Quality'!P23="","",'1.Quality'!P23)</f>
        <v>2</v>
      </c>
      <c r="Q8" t="str">
        <f>IF('1.Quality'!Q23="","",'1.Quality'!Q23)</f>
        <v/>
      </c>
      <c r="R8" t="str">
        <f>IF('1.Quality'!R23="","",'1.Quality'!R23)</f>
        <v/>
      </c>
      <c r="S8" t="str">
        <f>IF('1.Quality'!S23="","",'1.Quality'!S23)</f>
        <v/>
      </c>
      <c r="T8" t="str">
        <f>IF('1.Quality'!T23="","",'1.Quality'!T23)</f>
        <v/>
      </c>
    </row>
    <row r="9" spans="1:20" ht="15" customHeight="1">
      <c r="A9" t="e">
        <f>'1.Quality'!#REF!</f>
        <v>#REF!</v>
      </c>
      <c r="B9" t="e">
        <f>'1.Quality'!#REF!</f>
        <v>#REF!</v>
      </c>
      <c r="C9" t="e">
        <f>'1.Quality'!#REF!</f>
        <v>#REF!</v>
      </c>
      <c r="D9" t="e">
        <f>'1.Quality'!#REF!</f>
        <v>#REF!</v>
      </c>
      <c r="E9" t="e">
        <f>'1.Quality'!#REF!</f>
        <v>#REF!</v>
      </c>
      <c r="F9" t="e">
        <f>'1.Quality'!#REF!</f>
        <v>#REF!</v>
      </c>
      <c r="G9" t="e">
        <f>'1.Quality'!#REF!</f>
        <v>#REF!</v>
      </c>
      <c r="H9" t="e">
        <f>IF('1.Quality'!#REF!="","",'1.Quality'!#REF!)</f>
        <v>#REF!</v>
      </c>
      <c r="I9" t="e">
        <f>IF('1.Quality'!#REF!="","",'1.Quality'!#REF!)</f>
        <v>#REF!</v>
      </c>
      <c r="J9" t="e">
        <f>IF('1.Quality'!#REF!="","",'1.Quality'!#REF!)</f>
        <v>#REF!</v>
      </c>
      <c r="K9" t="e">
        <f>IF('1.Quality'!#REF!="","",'1.Quality'!#REF!)</f>
        <v>#REF!</v>
      </c>
      <c r="L9" t="e">
        <f>IF('1.Quality'!#REF!="","",'1.Quality'!#REF!)</f>
        <v>#REF!</v>
      </c>
      <c r="M9" t="e">
        <f>IF('1.Quality'!#REF!="","",'1.Quality'!#REF!)</f>
        <v>#REF!</v>
      </c>
      <c r="N9" t="e">
        <f>IF('1.Quality'!#REF!="","",'1.Quality'!#REF!)</f>
        <v>#REF!</v>
      </c>
      <c r="O9" t="e">
        <f>IF('1.Quality'!#REF!="","",'1.Quality'!#REF!)</f>
        <v>#REF!</v>
      </c>
      <c r="P9" t="e">
        <f>IF('1.Quality'!#REF!="","",'1.Quality'!#REF!)</f>
        <v>#REF!</v>
      </c>
      <c r="Q9" t="e">
        <f>IF('1.Quality'!#REF!="","",'1.Quality'!#REF!)</f>
        <v>#REF!</v>
      </c>
      <c r="R9" t="e">
        <f>IF('1.Quality'!#REF!="","",'1.Quality'!#REF!)</f>
        <v>#REF!</v>
      </c>
      <c r="S9" t="e">
        <f>IF('1.Quality'!#REF!="","",'1.Quality'!#REF!)</f>
        <v>#REF!</v>
      </c>
      <c r="T9" t="e">
        <f>IF('1.Quality'!#REF!="","",'1.Quality'!#REF!)</f>
        <v>#REF!</v>
      </c>
    </row>
    <row r="10" spans="1:20">
      <c r="A10" t="e">
        <f>'1.Quality'!#REF!</f>
        <v>#REF!</v>
      </c>
      <c r="B10" t="e">
        <f>'1.Quality'!#REF!</f>
        <v>#REF!</v>
      </c>
      <c r="C10" t="e">
        <f>'1.Quality'!#REF!</f>
        <v>#REF!</v>
      </c>
      <c r="D10" t="e">
        <f>'1.Quality'!#REF!</f>
        <v>#REF!</v>
      </c>
      <c r="E10" t="e">
        <f>'1.Quality'!#REF!</f>
        <v>#REF!</v>
      </c>
      <c r="F10" t="e">
        <f>'1.Quality'!#REF!</f>
        <v>#REF!</v>
      </c>
      <c r="G10" t="e">
        <f>'1.Quality'!#REF!</f>
        <v>#REF!</v>
      </c>
      <c r="H10" t="e">
        <f>IF('1.Quality'!#REF!="","",'1.Quality'!#REF!)</f>
        <v>#REF!</v>
      </c>
      <c r="I10" t="e">
        <f>IF('1.Quality'!#REF!="","",'1.Quality'!#REF!)</f>
        <v>#REF!</v>
      </c>
      <c r="J10" t="e">
        <f>IF('1.Quality'!#REF!="","",'1.Quality'!#REF!)</f>
        <v>#REF!</v>
      </c>
      <c r="K10" t="e">
        <f>IF('1.Quality'!#REF!="","",'1.Quality'!#REF!)</f>
        <v>#REF!</v>
      </c>
      <c r="L10" t="e">
        <f>IF('1.Quality'!#REF!="","",'1.Quality'!#REF!)</f>
        <v>#REF!</v>
      </c>
      <c r="M10" t="e">
        <f>IF('1.Quality'!#REF!="","",'1.Quality'!#REF!)</f>
        <v>#REF!</v>
      </c>
      <c r="N10" t="e">
        <f>IF('1.Quality'!#REF!="","",'1.Quality'!#REF!)</f>
        <v>#REF!</v>
      </c>
      <c r="O10" t="e">
        <f>IF('1.Quality'!#REF!="","",'1.Quality'!#REF!)</f>
        <v>#REF!</v>
      </c>
      <c r="P10" t="e">
        <f>IF('1.Quality'!#REF!="","",'1.Quality'!#REF!)</f>
        <v>#REF!</v>
      </c>
      <c r="Q10" t="e">
        <f>IF('1.Quality'!#REF!="","",'1.Quality'!#REF!)</f>
        <v>#REF!</v>
      </c>
      <c r="R10" t="e">
        <f>IF('1.Quality'!#REF!="","",'1.Quality'!#REF!)</f>
        <v>#REF!</v>
      </c>
      <c r="S10" t="e">
        <f>IF('1.Quality'!#REF!="","",'1.Quality'!#REF!)</f>
        <v>#REF!</v>
      </c>
      <c r="T10" t="e">
        <f>IF('1.Quality'!#REF!="","",'1.Quality'!#REF!)</f>
        <v>#REF!</v>
      </c>
    </row>
    <row r="11" spans="1:20">
      <c r="A11" t="e">
        <f>'1.Quality'!#REF!</f>
        <v>#REF!</v>
      </c>
      <c r="B11" t="e">
        <f>'1.Quality'!#REF!</f>
        <v>#REF!</v>
      </c>
      <c r="C11" t="e">
        <f>'1.Quality'!#REF!</f>
        <v>#REF!</v>
      </c>
      <c r="D11" t="e">
        <f>'1.Quality'!#REF!</f>
        <v>#REF!</v>
      </c>
      <c r="E11" t="e">
        <f>'1.Quality'!#REF!</f>
        <v>#REF!</v>
      </c>
      <c r="F11" t="e">
        <f>'1.Quality'!#REF!</f>
        <v>#REF!</v>
      </c>
      <c r="G11" t="e">
        <f>'1.Quality'!#REF!</f>
        <v>#REF!</v>
      </c>
      <c r="H11" t="e">
        <f>IF('1.Quality'!#REF!="","",'1.Quality'!#REF!)</f>
        <v>#REF!</v>
      </c>
      <c r="I11" s="264" t="e">
        <f>IF('1.Quality'!#REF!="","",'1.Quality'!#REF!)</f>
        <v>#REF!</v>
      </c>
      <c r="J11" s="264" t="e">
        <f>IF('1.Quality'!#REF!="","",'1.Quality'!#REF!)</f>
        <v>#REF!</v>
      </c>
      <c r="K11" s="264" t="e">
        <f>IF('1.Quality'!#REF!="","",'1.Quality'!#REF!)</f>
        <v>#REF!</v>
      </c>
      <c r="L11" s="264" t="e">
        <f>IF('1.Quality'!#REF!="","",'1.Quality'!#REF!)</f>
        <v>#REF!</v>
      </c>
      <c r="M11" s="264" t="e">
        <f>IF('1.Quality'!#REF!="","",'1.Quality'!#REF!)</f>
        <v>#REF!</v>
      </c>
      <c r="N11" s="264" t="e">
        <f>IF('1.Quality'!#REF!="","",'1.Quality'!#REF!)</f>
        <v>#REF!</v>
      </c>
      <c r="O11" s="264" t="e">
        <f>IF('1.Quality'!#REF!="","",'1.Quality'!#REF!)</f>
        <v>#REF!</v>
      </c>
      <c r="P11" s="264" t="e">
        <f>IF('1.Quality'!#REF!="","",'1.Quality'!#REF!)</f>
        <v>#REF!</v>
      </c>
      <c r="Q11" s="264" t="e">
        <f>IF('1.Quality'!#REF!="","",'1.Quality'!#REF!)</f>
        <v>#REF!</v>
      </c>
      <c r="R11" s="264" t="e">
        <f>IF('1.Quality'!#REF!="","",'1.Quality'!#REF!)</f>
        <v>#REF!</v>
      </c>
      <c r="S11" s="264" t="e">
        <f>IF('1.Quality'!#REF!="","",'1.Quality'!#REF!)</f>
        <v>#REF!</v>
      </c>
      <c r="T11" s="264" t="e">
        <f>IF('1.Quality'!#REF!="","",'1.Quality'!#REF!)</f>
        <v>#REF!</v>
      </c>
    </row>
    <row r="12" spans="1:20">
      <c r="A12" t="e">
        <f>'1.Quality'!#REF!</f>
        <v>#REF!</v>
      </c>
      <c r="B12" t="e">
        <f>'1.Quality'!#REF!</f>
        <v>#REF!</v>
      </c>
      <c r="C12" t="e">
        <f>'1.Quality'!#REF!</f>
        <v>#REF!</v>
      </c>
      <c r="D12" t="e">
        <f>'1.Quality'!#REF!</f>
        <v>#REF!</v>
      </c>
      <c r="E12" t="e">
        <f>'1.Quality'!#REF!</f>
        <v>#REF!</v>
      </c>
      <c r="F12" t="e">
        <f>'1.Quality'!#REF!</f>
        <v>#REF!</v>
      </c>
      <c r="G12" t="e">
        <f>'1.Quality'!#REF!</f>
        <v>#REF!</v>
      </c>
      <c r="H12" t="e">
        <f>IF('1.Quality'!#REF!="","",'1.Quality'!#REF!)</f>
        <v>#REF!</v>
      </c>
      <c r="I12" s="264" t="e">
        <f>IF('1.Quality'!#REF!="","",'1.Quality'!#REF!)</f>
        <v>#REF!</v>
      </c>
      <c r="J12" s="264" t="e">
        <f>IF('1.Quality'!#REF!="","",'1.Quality'!#REF!)</f>
        <v>#REF!</v>
      </c>
      <c r="K12" s="264" t="e">
        <f>IF('1.Quality'!#REF!="","",'1.Quality'!#REF!)</f>
        <v>#REF!</v>
      </c>
      <c r="L12" s="264" t="e">
        <f>IF('1.Quality'!#REF!="","",'1.Quality'!#REF!)</f>
        <v>#REF!</v>
      </c>
      <c r="M12" s="264" t="e">
        <f>IF('1.Quality'!#REF!="","",'1.Quality'!#REF!)</f>
        <v>#REF!</v>
      </c>
      <c r="N12" s="264" t="e">
        <f>IF('1.Quality'!#REF!="","",'1.Quality'!#REF!)</f>
        <v>#REF!</v>
      </c>
      <c r="O12" s="264" t="e">
        <f>IF('1.Quality'!#REF!="","",'1.Quality'!#REF!)</f>
        <v>#REF!</v>
      </c>
      <c r="P12" s="264" t="e">
        <f>IF('1.Quality'!#REF!="","",'1.Quality'!#REF!)</f>
        <v>#REF!</v>
      </c>
      <c r="Q12" s="264" t="e">
        <f>IF('1.Quality'!#REF!="","",'1.Quality'!#REF!)</f>
        <v>#REF!</v>
      </c>
      <c r="R12" s="264" t="e">
        <f>IF('1.Quality'!#REF!="","",'1.Quality'!#REF!)</f>
        <v>#REF!</v>
      </c>
      <c r="S12" s="264" t="e">
        <f>IF('1.Quality'!#REF!="","",'1.Quality'!#REF!)</f>
        <v>#REF!</v>
      </c>
      <c r="T12" s="264" t="e">
        <f>IF('1.Quality'!#REF!="","",'1.Quality'!#REF!)</f>
        <v>#REF!</v>
      </c>
    </row>
    <row r="13" spans="1:20">
      <c r="A13" t="str">
        <f>'1.Quality'!A24</f>
        <v>Audit</v>
      </c>
      <c r="B13" t="str">
        <f>'1.Quality'!B24</f>
        <v># Major Findings in external audits</v>
      </c>
      <c r="C13" t="str">
        <f>'1.Quality'!C24</f>
        <v>=</v>
      </c>
      <c r="D13">
        <f>'1.Quality'!D24</f>
        <v>0</v>
      </c>
      <c r="E13" t="str">
        <f>'1.Quality'!E24</f>
        <v>No.</v>
      </c>
      <c r="F13" t="str">
        <f>'1.Quality'!F24</f>
        <v>Lower the better</v>
      </c>
      <c r="G13" t="str">
        <f>'1.Quality'!G24</f>
        <v>Half yearly</v>
      </c>
      <c r="H13" t="str">
        <f>IF('1.Quality'!H24="","",'1.Quality'!H24)</f>
        <v>Target</v>
      </c>
      <c r="I13">
        <f>IF('1.Quality'!I24="","",'1.Quality'!I24)</f>
        <v>0</v>
      </c>
      <c r="J13">
        <f>IF('1.Quality'!J24="","",'1.Quality'!J24)</f>
        <v>0</v>
      </c>
      <c r="K13">
        <f>IF('1.Quality'!K24="","",'1.Quality'!K24)</f>
        <v>0</v>
      </c>
      <c r="L13">
        <f>IF('1.Quality'!L24="","",'1.Quality'!L24)</f>
        <v>0</v>
      </c>
      <c r="M13">
        <f>IF('1.Quality'!M24="","",'1.Quality'!M24)</f>
        <v>0</v>
      </c>
      <c r="N13">
        <f>IF('1.Quality'!N24="","",'1.Quality'!N24)</f>
        <v>0</v>
      </c>
      <c r="O13">
        <f>IF('1.Quality'!O24="","",'1.Quality'!O24)</f>
        <v>0</v>
      </c>
      <c r="P13">
        <f>IF('1.Quality'!P24="","",'1.Quality'!P24)</f>
        <v>0</v>
      </c>
      <c r="Q13">
        <f>IF('1.Quality'!Q24="","",'1.Quality'!Q24)</f>
        <v>0</v>
      </c>
      <c r="R13">
        <f>IF('1.Quality'!R24="","",'1.Quality'!R24)</f>
        <v>0</v>
      </c>
      <c r="S13">
        <f>IF('1.Quality'!S24="","",'1.Quality'!S24)</f>
        <v>0</v>
      </c>
      <c r="T13">
        <f>IF('1.Quality'!T24="","",'1.Quality'!T24)</f>
        <v>0</v>
      </c>
    </row>
    <row r="14" spans="1:20">
      <c r="A14" t="str">
        <f>'1.Quality'!A24</f>
        <v>Audit</v>
      </c>
      <c r="B14" t="str">
        <f>'1.Quality'!B24</f>
        <v># Major Findings in external audits</v>
      </c>
      <c r="C14" t="str">
        <f>'1.Quality'!C24</f>
        <v>=</v>
      </c>
      <c r="D14">
        <f>'1.Quality'!D24</f>
        <v>0</v>
      </c>
      <c r="E14" t="str">
        <f>'1.Quality'!E24</f>
        <v>No.</v>
      </c>
      <c r="F14" t="str">
        <f>'1.Quality'!F24</f>
        <v>Lower the better</v>
      </c>
      <c r="G14" t="str">
        <f>'1.Quality'!G24</f>
        <v>Half yearly</v>
      </c>
      <c r="H14" t="str">
        <f>IF('1.Quality'!H25="","",'1.Quality'!H25)</f>
        <v>Actual</v>
      </c>
      <c r="I14">
        <f>IF('1.Quality'!I25="","",'1.Quality'!I25)</f>
        <v>0</v>
      </c>
      <c r="J14">
        <f>IF('1.Quality'!J25="","",'1.Quality'!J25)</f>
        <v>0</v>
      </c>
      <c r="K14">
        <f>IF('1.Quality'!K25="","",'1.Quality'!K25)</f>
        <v>0</v>
      </c>
      <c r="L14">
        <f>IF('1.Quality'!L25="","",'1.Quality'!L25)</f>
        <v>0</v>
      </c>
      <c r="M14">
        <f>IF('1.Quality'!M25="","",'1.Quality'!M25)</f>
        <v>0</v>
      </c>
      <c r="N14">
        <f>IF('1.Quality'!N25="","",'1.Quality'!N25)</f>
        <v>0</v>
      </c>
      <c r="O14">
        <f>IF('1.Quality'!O25="","",'1.Quality'!O25)</f>
        <v>0</v>
      </c>
      <c r="P14">
        <f>IF('1.Quality'!P25="","",'1.Quality'!P25)</f>
        <v>0</v>
      </c>
      <c r="Q14" t="str">
        <f>IF('1.Quality'!Q25="","",'1.Quality'!Q25)</f>
        <v/>
      </c>
      <c r="R14" t="str">
        <f>IF('1.Quality'!R25="","",'1.Quality'!R25)</f>
        <v/>
      </c>
      <c r="S14" t="str">
        <f>IF('1.Quality'!S25="","",'1.Quality'!S25)</f>
        <v/>
      </c>
      <c r="T14" t="str">
        <f>IF('1.Quality'!T25="","",'1.Quality'!T25)</f>
        <v/>
      </c>
    </row>
    <row r="16" spans="1:20">
      <c r="A16" s="13" t="s">
        <v>75</v>
      </c>
    </row>
    <row r="17" spans="1:20">
      <c r="A17" t="s">
        <v>58</v>
      </c>
      <c r="B17" t="s">
        <v>59</v>
      </c>
      <c r="C17" t="s">
        <v>5</v>
      </c>
      <c r="D17" t="s">
        <v>60</v>
      </c>
      <c r="E17" t="s">
        <v>7</v>
      </c>
      <c r="F17" t="s">
        <v>61</v>
      </c>
      <c r="G17" t="s">
        <v>9</v>
      </c>
      <c r="H17" t="s">
        <v>62</v>
      </c>
      <c r="I17" t="s">
        <v>63</v>
      </c>
      <c r="J17" t="s">
        <v>64</v>
      </c>
      <c r="K17" t="s">
        <v>65</v>
      </c>
      <c r="L17" t="s">
        <v>66</v>
      </c>
      <c r="M17" t="s">
        <v>67</v>
      </c>
      <c r="N17" t="s">
        <v>68</v>
      </c>
      <c r="O17" t="s">
        <v>69</v>
      </c>
      <c r="P17" t="s">
        <v>70</v>
      </c>
      <c r="Q17" t="s">
        <v>71</v>
      </c>
      <c r="R17" t="s">
        <v>72</v>
      </c>
      <c r="S17" t="s">
        <v>73</v>
      </c>
      <c r="T17" t="s">
        <v>74</v>
      </c>
    </row>
    <row r="18" spans="1:20">
      <c r="A18" t="str">
        <f>'2.Regulatory'!A14</f>
        <v>Country readiness</v>
      </c>
      <c r="B18" t="str">
        <f>'2.Regulatory'!B14</f>
        <v>(Orders impacted due to regulatory or other readiness-related blocks) *100/ Total orders planned for that month</v>
      </c>
      <c r="C18" t="str">
        <f>'2.Regulatory'!C14</f>
        <v>&lt;=</v>
      </c>
      <c r="D18">
        <f>'2.Regulatory'!D14</f>
        <v>0.1</v>
      </c>
      <c r="E18" t="str">
        <f>'2.Regulatory'!E14</f>
        <v>%</v>
      </c>
      <c r="F18" t="str">
        <f>'2.Regulatory'!F14</f>
        <v>Lower the better</v>
      </c>
      <c r="G18" t="str">
        <f>'2.Regulatory'!G14</f>
        <v>Monthly</v>
      </c>
      <c r="H18" t="str">
        <f>IF('2.Regulatory'!H14="","",'2.Regulatory'!H14)</f>
        <v>Target</v>
      </c>
      <c r="I18">
        <f>IF('2.Regulatory'!I14="","",'2.Regulatory'!I14)</f>
        <v>0.1</v>
      </c>
      <c r="J18" s="264">
        <f>IF('2.Regulatory'!J14="","",'2.Regulatory'!J14)</f>
        <v>0.1</v>
      </c>
      <c r="K18" s="264">
        <f>IF('2.Regulatory'!K14="","",'2.Regulatory'!K14)</f>
        <v>0.1</v>
      </c>
      <c r="L18" s="264">
        <f>IF('2.Regulatory'!L14="","",'2.Regulatory'!L14)</f>
        <v>0.1</v>
      </c>
      <c r="M18" s="264">
        <f>IF('2.Regulatory'!M14="","",'2.Regulatory'!M14)</f>
        <v>0.1</v>
      </c>
      <c r="N18" s="264">
        <f>IF('2.Regulatory'!N14="","",'2.Regulatory'!N14)</f>
        <v>0.1</v>
      </c>
      <c r="O18" s="264">
        <f>IF('2.Regulatory'!O14="","",'2.Regulatory'!O14)</f>
        <v>0.1</v>
      </c>
      <c r="P18" s="264">
        <f>IF('2.Regulatory'!P14="","",'2.Regulatory'!P14)</f>
        <v>0.1</v>
      </c>
      <c r="Q18" s="264">
        <f>IF('2.Regulatory'!Q14="","",'2.Regulatory'!Q14)</f>
        <v>0.1</v>
      </c>
      <c r="R18" s="264">
        <f>IF('2.Regulatory'!R14="","",'2.Regulatory'!R14)</f>
        <v>0.1</v>
      </c>
      <c r="S18" s="264">
        <f>IF('2.Regulatory'!S14="","",'2.Regulatory'!S14)</f>
        <v>0.1</v>
      </c>
      <c r="T18" s="264">
        <f>IF('2.Regulatory'!T14="","",'2.Regulatory'!T14)</f>
        <v>0.1</v>
      </c>
    </row>
    <row r="19" spans="1:20">
      <c r="A19" t="str">
        <f>'2.Regulatory'!A14</f>
        <v>Country readiness</v>
      </c>
      <c r="B19" t="str">
        <f>'2.Regulatory'!B14</f>
        <v>(Orders impacted due to regulatory or other readiness-related blocks) *100/ Total orders planned for that month</v>
      </c>
      <c r="C19" t="str">
        <f>'2.Regulatory'!C14</f>
        <v>&lt;=</v>
      </c>
      <c r="D19">
        <f>'2.Regulatory'!D14</f>
        <v>0.1</v>
      </c>
      <c r="E19" t="str">
        <f>'2.Regulatory'!E14</f>
        <v>%</v>
      </c>
      <c r="F19" t="str">
        <f>'2.Regulatory'!F14</f>
        <v>Lower the better</v>
      </c>
      <c r="G19" t="str">
        <f>'2.Regulatory'!G14</f>
        <v>Monthly</v>
      </c>
      <c r="H19" t="str">
        <f>IF('2.Regulatory'!H15="","",'2.Regulatory'!H15)</f>
        <v>Actual</v>
      </c>
      <c r="I19">
        <f>IF('2.Regulatory'!I15="","",'2.Regulatory'!I15)</f>
        <v>0</v>
      </c>
      <c r="J19" s="264">
        <f>IF('2.Regulatory'!J15="","",'2.Regulatory'!J15)</f>
        <v>1.1111111111111112E-2</v>
      </c>
      <c r="K19" s="264">
        <f>IF('2.Regulatory'!K15="","",'2.Regulatory'!K15)</f>
        <v>0</v>
      </c>
      <c r="L19" s="264">
        <f>IF('2.Regulatory'!L15="","",'2.Regulatory'!L15)</f>
        <v>0</v>
      </c>
      <c r="M19" s="264">
        <f>IF('2.Regulatory'!M15="","",'2.Regulatory'!M15)</f>
        <v>0</v>
      </c>
      <c r="N19" s="264">
        <f>IF('2.Regulatory'!N15="","",'2.Regulatory'!N15)</f>
        <v>0</v>
      </c>
      <c r="O19" s="264">
        <f>IF('2.Regulatory'!O15="","",'2.Regulatory'!O15)</f>
        <v>0</v>
      </c>
      <c r="P19" s="264">
        <f>IF('2.Regulatory'!P15="","",'2.Regulatory'!P15)</f>
        <v>0</v>
      </c>
      <c r="Q19" s="264" t="str">
        <f>IF('2.Regulatory'!Q15="","",'2.Regulatory'!Q15)</f>
        <v/>
      </c>
      <c r="R19" s="264" t="str">
        <f>IF('2.Regulatory'!R15="","",'2.Regulatory'!R15)</f>
        <v/>
      </c>
      <c r="S19" s="264" t="str">
        <f>IF('2.Regulatory'!S15="","",'2.Regulatory'!S15)</f>
        <v/>
      </c>
      <c r="T19" s="264" t="str">
        <f>IF('2.Regulatory'!T15="","",'2.Regulatory'!T15)</f>
        <v/>
      </c>
    </row>
    <row r="20" spans="1:20">
      <c r="A20" t="str">
        <f>'2.Regulatory'!A16</f>
        <v>Product Change assessment</v>
      </c>
      <c r="B20" t="str">
        <f>'2.Regulatory'!B16</f>
        <v>(Product change assessments completed  by Regulatory within 6 weeks from the date of request) *100/ Total change assessments  completion planned during that month</v>
      </c>
      <c r="C20" t="str">
        <f>'2.Regulatory'!C16</f>
        <v>&gt;=</v>
      </c>
      <c r="D20">
        <f>'2.Regulatory'!D16</f>
        <v>0.95</v>
      </c>
      <c r="E20" t="str">
        <f>'2.Regulatory'!E16</f>
        <v>%</v>
      </c>
      <c r="F20" t="str">
        <f>'2.Regulatory'!F16</f>
        <v>Higher the better</v>
      </c>
      <c r="G20" t="str">
        <f>'2.Regulatory'!G16</f>
        <v>Monthly</v>
      </c>
      <c r="H20" t="str">
        <f>IF('2.Regulatory'!H16="","",'2.Regulatory'!H16)</f>
        <v>Target</v>
      </c>
      <c r="I20">
        <f>IF('2.Regulatory'!I16="","",'2.Regulatory'!I16)</f>
        <v>0.95</v>
      </c>
      <c r="J20" s="264">
        <f>IF('2.Regulatory'!J16="","",'2.Regulatory'!J16)</f>
        <v>0.95</v>
      </c>
      <c r="K20" s="264">
        <f>IF('2.Regulatory'!K16="","",'2.Regulatory'!K16)</f>
        <v>0.95</v>
      </c>
      <c r="L20" s="264">
        <f>IF('2.Regulatory'!L16="","",'2.Regulatory'!L16)</f>
        <v>0.95</v>
      </c>
      <c r="M20" s="264">
        <f>IF('2.Regulatory'!M16="","",'2.Regulatory'!M16)</f>
        <v>0.95</v>
      </c>
      <c r="N20" s="264">
        <f>IF('2.Regulatory'!N16="","",'2.Regulatory'!N16)</f>
        <v>0.95</v>
      </c>
      <c r="O20" s="264">
        <f>IF('2.Regulatory'!O16="","",'2.Regulatory'!O16)</f>
        <v>0.95</v>
      </c>
      <c r="P20" s="264">
        <f>IF('2.Regulatory'!P16="","",'2.Regulatory'!P16)</f>
        <v>0.95</v>
      </c>
      <c r="Q20" s="264">
        <f>IF('2.Regulatory'!Q16="","",'2.Regulatory'!Q16)</f>
        <v>0.95</v>
      </c>
      <c r="R20" s="264">
        <f>IF('2.Regulatory'!R16="","",'2.Regulatory'!R16)</f>
        <v>0.95</v>
      </c>
      <c r="S20" s="264">
        <f>IF('2.Regulatory'!S16="","",'2.Regulatory'!S16)</f>
        <v>0.95</v>
      </c>
      <c r="T20" s="264">
        <f>IF('2.Regulatory'!T16="","",'2.Regulatory'!T16)</f>
        <v>0.95</v>
      </c>
    </row>
    <row r="21" spans="1:20">
      <c r="A21" t="str">
        <f>'2.Regulatory'!A16</f>
        <v>Product Change assessment</v>
      </c>
      <c r="B21" t="str">
        <f>'2.Regulatory'!B16</f>
        <v>(Product change assessments completed  by Regulatory within 6 weeks from the date of request) *100/ Total change assessments  completion planned during that month</v>
      </c>
      <c r="C21" t="str">
        <f>'2.Regulatory'!C16</f>
        <v>&gt;=</v>
      </c>
      <c r="D21">
        <f>'2.Regulatory'!D16</f>
        <v>0.95</v>
      </c>
      <c r="E21" t="str">
        <f>'2.Regulatory'!E16</f>
        <v>%</v>
      </c>
      <c r="F21" t="str">
        <f>'2.Regulatory'!F16</f>
        <v>Higher the better</v>
      </c>
      <c r="G21" t="str">
        <f>'2.Regulatory'!G16</f>
        <v>Monthly</v>
      </c>
      <c r="H21" t="str">
        <f>IF('2.Regulatory'!H17="","",'2.Regulatory'!H17)</f>
        <v>Actual</v>
      </c>
      <c r="I21">
        <f>IF('2.Regulatory'!I17="","",'2.Regulatory'!I17)</f>
        <v>1</v>
      </c>
      <c r="J21" s="264">
        <f>IF('2.Regulatory'!J17="","",'2.Regulatory'!J17)</f>
        <v>0.5</v>
      </c>
      <c r="K21" s="264">
        <f>IF('2.Regulatory'!K17="","",'2.Regulatory'!K17)</f>
        <v>1</v>
      </c>
      <c r="L21" s="264">
        <f>IF('2.Regulatory'!L17="","",'2.Regulatory'!L17)</f>
        <v>0</v>
      </c>
      <c r="M21" s="264">
        <f>IF('2.Regulatory'!M17="","",'2.Regulatory'!M17)</f>
        <v>1</v>
      </c>
      <c r="N21" s="264">
        <f>IF('2.Regulatory'!N17="","",'2.Regulatory'!N17)</f>
        <v>1</v>
      </c>
      <c r="O21" s="264">
        <f>IF('2.Regulatory'!O17="","",'2.Regulatory'!O17)</f>
        <v>1</v>
      </c>
      <c r="P21" s="264">
        <f>IF('2.Regulatory'!P17="","",'2.Regulatory'!P17)</f>
        <v>1</v>
      </c>
      <c r="Q21" s="264" t="str">
        <f>IF('2.Regulatory'!Q17="","",'2.Regulatory'!Q17)</f>
        <v/>
      </c>
      <c r="R21" s="264" t="str">
        <f>IF('2.Regulatory'!R17="","",'2.Regulatory'!R17)</f>
        <v/>
      </c>
      <c r="S21" s="264" t="str">
        <f>IF('2.Regulatory'!S17="","",'2.Regulatory'!S17)</f>
        <v/>
      </c>
      <c r="T21" s="264" t="str">
        <f>IF('2.Regulatory'!T17="","",'2.Regulatory'!T17)</f>
        <v/>
      </c>
    </row>
    <row r="22" spans="1:20">
      <c r="A22" t="str">
        <f>'2.Regulatory'!A18</f>
        <v>Submission readiness</v>
      </c>
      <c r="B22" t="str">
        <f>'2.Regulatory'!B18</f>
        <v>(Completed regulatory submission documents) *100/ Total submission deliverables needed for each planned country submission</v>
      </c>
      <c r="C22" t="str">
        <f>'2.Regulatory'!C18</f>
        <v>=</v>
      </c>
      <c r="D22">
        <f>'2.Regulatory'!D18</f>
        <v>1</v>
      </c>
      <c r="E22" t="str">
        <f>'2.Regulatory'!E18</f>
        <v>%</v>
      </c>
      <c r="F22" t="str">
        <f>'2.Regulatory'!F18</f>
        <v>Higher the better</v>
      </c>
      <c r="G22" t="str">
        <f>'2.Regulatory'!G18</f>
        <v>Monthly</v>
      </c>
      <c r="H22" t="str">
        <f>IF('2.Regulatory'!H18="","",'2.Regulatory'!H18)</f>
        <v>Target</v>
      </c>
      <c r="I22">
        <f>IF('2.Regulatory'!I18="","",'2.Regulatory'!I18)</f>
        <v>1</v>
      </c>
      <c r="J22" s="264">
        <f>IF('2.Regulatory'!J18="","",'2.Regulatory'!J18)</f>
        <v>1</v>
      </c>
      <c r="K22" s="264">
        <f>IF('2.Regulatory'!K18="","",'2.Regulatory'!K18)</f>
        <v>1</v>
      </c>
      <c r="L22" s="264">
        <f>IF('2.Regulatory'!L18="","",'2.Regulatory'!L18)</f>
        <v>1</v>
      </c>
      <c r="M22" s="264">
        <f>IF('2.Regulatory'!M18="","",'2.Regulatory'!M18)</f>
        <v>1</v>
      </c>
      <c r="N22" s="264">
        <f>IF('2.Regulatory'!N18="","",'2.Regulatory'!N18)</f>
        <v>1</v>
      </c>
      <c r="O22" s="264">
        <f>IF('2.Regulatory'!O18="","",'2.Regulatory'!O18)</f>
        <v>1</v>
      </c>
      <c r="P22" s="264">
        <f>IF('2.Regulatory'!P18="","",'2.Regulatory'!P18)</f>
        <v>1</v>
      </c>
      <c r="Q22" s="264">
        <f>IF('2.Regulatory'!Q18="","",'2.Regulatory'!Q18)</f>
        <v>1</v>
      </c>
      <c r="R22" s="264">
        <f>IF('2.Regulatory'!R18="","",'2.Regulatory'!R18)</f>
        <v>1</v>
      </c>
      <c r="S22" s="264">
        <f>IF('2.Regulatory'!S18="","",'2.Regulatory'!S18)</f>
        <v>1</v>
      </c>
      <c r="T22" s="264">
        <f>IF('2.Regulatory'!T18="","",'2.Regulatory'!T18)</f>
        <v>1</v>
      </c>
    </row>
    <row r="23" spans="1:20">
      <c r="A23" t="str">
        <f>'2.Regulatory'!A18</f>
        <v>Submission readiness</v>
      </c>
      <c r="B23" t="str">
        <f>'2.Regulatory'!B18</f>
        <v>(Completed regulatory submission documents) *100/ Total submission deliverables needed for each planned country submission</v>
      </c>
      <c r="C23" t="str">
        <f>'2.Regulatory'!C18</f>
        <v>=</v>
      </c>
      <c r="D23">
        <f>'2.Regulatory'!D18</f>
        <v>1</v>
      </c>
      <c r="E23" t="str">
        <f>'2.Regulatory'!E18</f>
        <v>%</v>
      </c>
      <c r="F23" t="str">
        <f>'2.Regulatory'!F18</f>
        <v>Higher the better</v>
      </c>
      <c r="G23" t="str">
        <f>'2.Regulatory'!G18</f>
        <v>Monthly</v>
      </c>
      <c r="H23" t="str">
        <f>IF('2.Regulatory'!H19="","",'2.Regulatory'!H19)</f>
        <v>Actual</v>
      </c>
      <c r="I23">
        <f>IF('2.Regulatory'!I19="","",'2.Regulatory'!I19)</f>
        <v>1</v>
      </c>
      <c r="J23" s="264">
        <f>IF('2.Regulatory'!J19="","",'2.Regulatory'!J19)</f>
        <v>1</v>
      </c>
      <c r="K23" s="264">
        <f>IF('2.Regulatory'!K19="","",'2.Regulatory'!K19)</f>
        <v>1</v>
      </c>
      <c r="L23" s="264">
        <f>IF('2.Regulatory'!L19="","",'2.Regulatory'!L19)</f>
        <v>0.93939393939393945</v>
      </c>
      <c r="M23" s="264">
        <f>IF('2.Regulatory'!M19="","",'2.Regulatory'!M19)</f>
        <v>1</v>
      </c>
      <c r="N23" s="264">
        <f>IF('2.Regulatory'!N19="","",'2.Regulatory'!N19)</f>
        <v>1</v>
      </c>
      <c r="O23" s="264">
        <f>IF('2.Regulatory'!O19="","",'2.Regulatory'!O19)</f>
        <v>1</v>
      </c>
      <c r="P23" s="264">
        <f>IF('2.Regulatory'!P19="","",'2.Regulatory'!P19)</f>
        <v>1</v>
      </c>
      <c r="Q23" s="264" t="str">
        <f>IF('2.Regulatory'!Q19="","",'2.Regulatory'!Q19)</f>
        <v/>
      </c>
      <c r="R23" s="264" t="str">
        <f>IF('2.Regulatory'!R19="","",'2.Regulatory'!R19)</f>
        <v/>
      </c>
      <c r="S23" s="264" t="str">
        <f>IF('2.Regulatory'!S19="","",'2.Regulatory'!S19)</f>
        <v/>
      </c>
      <c r="T23" s="264" t="str">
        <f>IF('2.Regulatory'!T19="","",'2.Regulatory'!T19)</f>
        <v/>
      </c>
    </row>
    <row r="24" spans="1:20">
      <c r="A24" t="str">
        <f>'2.Regulatory'!A20</f>
        <v>Quality of submission</v>
      </c>
      <c r="B24" t="str">
        <f>'2.Regulatory'!B20</f>
        <v>(Planned regulatory submissions accepted first-time-right) *100/ Total 
submission submitted in that month</v>
      </c>
      <c r="C24" t="str">
        <f>'2.Regulatory'!C20</f>
        <v>&gt;=</v>
      </c>
      <c r="D24">
        <f>'2.Regulatory'!D20</f>
        <v>0.95</v>
      </c>
      <c r="E24" t="str">
        <f>'2.Regulatory'!E20</f>
        <v>%</v>
      </c>
      <c r="F24" t="str">
        <f>'2.Regulatory'!F20</f>
        <v>Higher the better</v>
      </c>
      <c r="G24" t="str">
        <f>'2.Regulatory'!G20</f>
        <v>Monthly</v>
      </c>
      <c r="H24" t="str">
        <f>IF('2.Regulatory'!H20="","",'2.Regulatory'!H20)</f>
        <v>Target</v>
      </c>
      <c r="I24">
        <f>IF('2.Regulatory'!I20="","",'2.Regulatory'!I20)</f>
        <v>0.95</v>
      </c>
      <c r="J24" s="264">
        <f>IF('2.Regulatory'!J20="","",'2.Regulatory'!J20)</f>
        <v>0.95</v>
      </c>
      <c r="K24" s="264">
        <f>IF('2.Regulatory'!K20="","",'2.Regulatory'!K20)</f>
        <v>0.95</v>
      </c>
      <c r="L24" s="264">
        <f>IF('2.Regulatory'!L20="","",'2.Regulatory'!L20)</f>
        <v>0.95</v>
      </c>
      <c r="M24" s="264">
        <f>IF('2.Regulatory'!M20="","",'2.Regulatory'!M20)</f>
        <v>0.95</v>
      </c>
      <c r="N24" s="264">
        <f>IF('2.Regulatory'!N20="","",'2.Regulatory'!N20)</f>
        <v>0.95</v>
      </c>
      <c r="O24" s="264">
        <f>IF('2.Regulatory'!O20="","",'2.Regulatory'!O20)</f>
        <v>0.95</v>
      </c>
      <c r="P24" s="264">
        <f>IF('2.Regulatory'!P20="","",'2.Regulatory'!P20)</f>
        <v>0.95</v>
      </c>
      <c r="Q24" s="264">
        <f>IF('2.Regulatory'!Q20="","",'2.Regulatory'!Q20)</f>
        <v>0.95</v>
      </c>
      <c r="R24" s="264">
        <f>IF('2.Regulatory'!R20="","",'2.Regulatory'!R20)</f>
        <v>0.95</v>
      </c>
      <c r="S24" s="264">
        <f>IF('2.Regulatory'!S20="","",'2.Regulatory'!S20)</f>
        <v>0.95</v>
      </c>
      <c r="T24" s="264">
        <f>IF('2.Regulatory'!T20="","",'2.Regulatory'!T20)</f>
        <v>0.95</v>
      </c>
    </row>
    <row r="25" spans="1:20">
      <c r="A25" t="str">
        <f>'2.Regulatory'!A20</f>
        <v>Quality of submission</v>
      </c>
      <c r="B25" t="str">
        <f>'2.Regulatory'!B20</f>
        <v>(Planned regulatory submissions accepted first-time-right) *100/ Total 
submission submitted in that month</v>
      </c>
      <c r="C25" t="str">
        <f>'2.Regulatory'!C20</f>
        <v>&gt;=</v>
      </c>
      <c r="D25">
        <f>'2.Regulatory'!D20</f>
        <v>0.95</v>
      </c>
      <c r="E25" t="str">
        <f>'2.Regulatory'!E20</f>
        <v>%</v>
      </c>
      <c r="F25" t="str">
        <f>'2.Regulatory'!F20</f>
        <v>Higher the better</v>
      </c>
      <c r="G25" t="str">
        <f>'2.Regulatory'!G20</f>
        <v>Monthly</v>
      </c>
      <c r="H25" t="str">
        <f>IF('2.Regulatory'!H21="","",'2.Regulatory'!H21)</f>
        <v>Actual</v>
      </c>
      <c r="I25">
        <f>IF('2.Regulatory'!I21="","",'2.Regulatory'!I21)</f>
        <v>1</v>
      </c>
      <c r="J25" s="264">
        <f>IF('2.Regulatory'!J21="","",'2.Regulatory'!J21)</f>
        <v>1</v>
      </c>
      <c r="K25" s="264">
        <f>IF('2.Regulatory'!K21="","",'2.Regulatory'!K21)</f>
        <v>0.97058823529411764</v>
      </c>
      <c r="L25" s="264">
        <f>IF('2.Regulatory'!L21="","",'2.Regulatory'!L21)</f>
        <v>1</v>
      </c>
      <c r="M25" s="264">
        <f>IF('2.Regulatory'!M21="","",'2.Regulatory'!M21)</f>
        <v>1</v>
      </c>
      <c r="N25" s="264">
        <f>IF('2.Regulatory'!N21="","",'2.Regulatory'!N21)</f>
        <v>1</v>
      </c>
      <c r="O25" s="264">
        <f>IF('2.Regulatory'!O21="","",'2.Regulatory'!O21)</f>
        <v>1</v>
      </c>
      <c r="P25" s="264">
        <f>IF('2.Regulatory'!P21="","",'2.Regulatory'!P21)</f>
        <v>1</v>
      </c>
      <c r="Q25" s="264" t="str">
        <f>IF('2.Regulatory'!Q21="","",'2.Regulatory'!Q21)</f>
        <v/>
      </c>
      <c r="R25" s="264" t="str">
        <f>IF('2.Regulatory'!R21="","",'2.Regulatory'!R21)</f>
        <v/>
      </c>
      <c r="S25" s="264" t="str">
        <f>IF('2.Regulatory'!S21="","",'2.Regulatory'!S21)</f>
        <v/>
      </c>
      <c r="T25" s="264" t="str">
        <f>IF('2.Regulatory'!T21="","",'2.Regulatory'!T21)</f>
        <v/>
      </c>
    </row>
    <row r="27" spans="1:20">
      <c r="A27" s="13" t="s">
        <v>76</v>
      </c>
    </row>
    <row r="28" spans="1:20">
      <c r="A28" t="s">
        <v>58</v>
      </c>
      <c r="B28" t="s">
        <v>59</v>
      </c>
      <c r="C28" t="s">
        <v>5</v>
      </c>
      <c r="D28" t="s">
        <v>60</v>
      </c>
      <c r="E28" t="s">
        <v>7</v>
      </c>
      <c r="F28" t="s">
        <v>61</v>
      </c>
      <c r="G28" t="s">
        <v>9</v>
      </c>
      <c r="H28" t="s">
        <v>62</v>
      </c>
      <c r="I28" t="s">
        <v>63</v>
      </c>
      <c r="J28" t="s">
        <v>64</v>
      </c>
      <c r="K28" t="s">
        <v>65</v>
      </c>
      <c r="L28" t="s">
        <v>66</v>
      </c>
      <c r="M28" t="s">
        <v>67</v>
      </c>
      <c r="N28" t="s">
        <v>68</v>
      </c>
      <c r="O28" t="s">
        <v>69</v>
      </c>
      <c r="P28" t="s">
        <v>70</v>
      </c>
      <c r="Q28" t="s">
        <v>71</v>
      </c>
      <c r="R28" t="s">
        <v>72</v>
      </c>
      <c r="S28" t="s">
        <v>73</v>
      </c>
      <c r="T28" t="s">
        <v>74</v>
      </c>
    </row>
    <row r="29" spans="1:20">
      <c r="A29" t="str">
        <f>'3.ISC '!A14</f>
        <v>Ontime supply</v>
      </c>
      <c r="B29" t="str">
        <f>'3.ISC '!B14</f>
        <v>FSD adherance</v>
      </c>
      <c r="C29" t="str">
        <f>'3.ISC '!C14</f>
        <v>&gt;</v>
      </c>
      <c r="D29">
        <f>'3.ISC '!D14</f>
        <v>0.9</v>
      </c>
      <c r="E29" t="str">
        <f>'3.ISC '!E14</f>
        <v>%</v>
      </c>
      <c r="F29" t="str">
        <f>'3.ISC '!F14</f>
        <v>Higher the better</v>
      </c>
      <c r="G29" t="str">
        <f>'3.ISC '!G14</f>
        <v>Monthly</v>
      </c>
      <c r="H29" t="str">
        <f>IF('3.ISC '!H14="","",'3.ISC '!H14)</f>
        <v>Target</v>
      </c>
      <c r="I29">
        <f>IF('3.ISC '!I14="","",'3.ISC '!I14)</f>
        <v>0.9</v>
      </c>
      <c r="J29" s="264">
        <f>IF('3.ISC '!J14="","",'3.ISC '!J14)</f>
        <v>0.9</v>
      </c>
      <c r="K29" s="264">
        <f>IF('3.ISC '!K14="","",'3.ISC '!K14)</f>
        <v>0.9</v>
      </c>
      <c r="L29" s="264">
        <f>IF('3.ISC '!L14="","",'3.ISC '!L14)</f>
        <v>0.9</v>
      </c>
      <c r="M29" s="264">
        <f>IF('3.ISC '!M14="","",'3.ISC '!M14)</f>
        <v>0.9</v>
      </c>
      <c r="N29" s="264">
        <f>IF('3.ISC '!N14="","",'3.ISC '!N14)</f>
        <v>0.9</v>
      </c>
      <c r="O29" s="264">
        <f>IF('3.ISC '!O14="","",'3.ISC '!O14)</f>
        <v>0.9</v>
      </c>
      <c r="P29" s="264">
        <f>IF('3.ISC '!P14="","",'3.ISC '!P14)</f>
        <v>0.9</v>
      </c>
      <c r="Q29" s="264">
        <f>IF('3.ISC '!Q14="","",'3.ISC '!Q14)</f>
        <v>0.9</v>
      </c>
      <c r="R29" s="264">
        <f>IF('3.ISC '!R14="","",'3.ISC '!R14)</f>
        <v>0.9</v>
      </c>
      <c r="S29" s="264">
        <f>IF('3.ISC '!S14="","",'3.ISC '!S14)</f>
        <v>0.9</v>
      </c>
      <c r="T29" s="264">
        <f>IF('3.ISC '!T14="","",'3.ISC '!T14)</f>
        <v>0.9</v>
      </c>
    </row>
    <row r="30" spans="1:20">
      <c r="A30" t="str">
        <f>'3.ISC '!A14</f>
        <v>Ontime supply</v>
      </c>
      <c r="B30" t="str">
        <f>'3.ISC '!B14</f>
        <v>FSD adherance</v>
      </c>
      <c r="C30" t="str">
        <f>'3.ISC '!C14</f>
        <v>&gt;</v>
      </c>
      <c r="D30">
        <f>'3.ISC '!D14</f>
        <v>0.9</v>
      </c>
      <c r="E30" t="str">
        <f>'3.ISC '!E14</f>
        <v>%</v>
      </c>
      <c r="F30" t="str">
        <f>'3.ISC '!F14</f>
        <v>Higher the better</v>
      </c>
      <c r="G30" t="str">
        <f>'3.ISC '!G14</f>
        <v>Monthly</v>
      </c>
      <c r="H30" t="str">
        <f>IF('3.ISC '!H15="","",'3.ISC '!H15)</f>
        <v>Actual</v>
      </c>
      <c r="I30">
        <f>IF('3.ISC '!I15="","",'3.ISC '!I15)</f>
        <v>0.91</v>
      </c>
      <c r="J30" s="264">
        <f>IF('3.ISC '!J15="","",'3.ISC '!J15)</f>
        <v>0.96</v>
      </c>
      <c r="K30" s="264">
        <f>IF('3.ISC '!K15="","",'3.ISC '!K15)</f>
        <v>0.66</v>
      </c>
      <c r="L30" s="264">
        <f>IF('3.ISC '!L15="","",'3.ISC '!L15)</f>
        <v>0.73</v>
      </c>
      <c r="M30" s="264">
        <f>IF('3.ISC '!M15="","",'3.ISC '!M15)</f>
        <v>0.71</v>
      </c>
      <c r="N30" s="264">
        <f>IF('3.ISC '!N15="","",'3.ISC '!N15)</f>
        <v>0.95</v>
      </c>
      <c r="O30" s="264">
        <f>IF('3.ISC '!O15="","",'3.ISC '!O15)</f>
        <v>0.92</v>
      </c>
      <c r="P30" s="264" t="str">
        <f>IF('3.ISC '!P15="","",'3.ISC '!P15)</f>
        <v/>
      </c>
      <c r="Q30" s="264" t="str">
        <f>IF('3.ISC '!Q15="","",'3.ISC '!Q15)</f>
        <v/>
      </c>
      <c r="R30" s="264" t="str">
        <f>IF('3.ISC '!R15="","",'3.ISC '!R15)</f>
        <v/>
      </c>
      <c r="S30" s="264" t="str">
        <f>IF('3.ISC '!S15="","",'3.ISC '!S15)</f>
        <v/>
      </c>
      <c r="T30" s="264" t="str">
        <f>IF('3.ISC '!T15="","",'3.ISC '!T15)</f>
        <v/>
      </c>
    </row>
    <row r="31" spans="1:20">
      <c r="A31" t="str">
        <f>'3.ISC '!A16</f>
        <v>Production units</v>
      </c>
      <c r="B31" t="str">
        <f>'3.ISC '!B16</f>
        <v>Production number</v>
      </c>
      <c r="C31" t="str">
        <f>'3.ISC '!C16</f>
        <v>&gt;</v>
      </c>
      <c r="D31" t="str">
        <f>'3.ISC '!D16</f>
        <v>1332/1400</v>
      </c>
      <c r="E31" t="str">
        <f>'3.ISC '!E16</f>
        <v>No.</v>
      </c>
      <c r="F31" t="str">
        <f>'3.ISC '!F16</f>
        <v>Higher the better</v>
      </c>
      <c r="G31" t="str">
        <f>'3.ISC '!G16</f>
        <v>Monthly</v>
      </c>
      <c r="H31" t="str">
        <f>IF('3.ISC '!H16="","",'3.ISC '!H16)</f>
        <v>Target</v>
      </c>
      <c r="I31" t="str">
        <f>IF('3.ISC '!I16="","",'3.ISC '!I16)</f>
        <v/>
      </c>
      <c r="J31">
        <f>IF('3.ISC '!J16="","",'3.ISC '!J16)</f>
        <v>118</v>
      </c>
      <c r="K31">
        <f>IF('3.ISC '!K16="","",'3.ISC '!K16)</f>
        <v>124</v>
      </c>
      <c r="L31">
        <f>IF('3.ISC '!L16="","",'3.ISC '!L16)</f>
        <v>129</v>
      </c>
      <c r="M31">
        <f>IF('3.ISC '!M16="","",'3.ISC '!M16)</f>
        <v>132</v>
      </c>
      <c r="N31">
        <f>IF('3.ISC '!N16="","",'3.ISC '!N16)</f>
        <v>130</v>
      </c>
      <c r="O31">
        <f>IF('3.ISC '!O16="","",'3.ISC '!O16)</f>
        <v>125</v>
      </c>
      <c r="P31">
        <f>IF('3.ISC '!P16="","",'3.ISC '!P16)</f>
        <v>125</v>
      </c>
      <c r="Q31">
        <f>IF('3.ISC '!Q16="","",'3.ISC '!Q16)</f>
        <v>123</v>
      </c>
      <c r="R31">
        <f>IF('3.ISC '!R16="","",'3.ISC '!R16)</f>
        <v>123</v>
      </c>
      <c r="S31">
        <f>IF('3.ISC '!S16="","",'3.ISC '!S16)</f>
        <v>121</v>
      </c>
      <c r="T31">
        <f>IF('3.ISC '!T16="","",'3.ISC '!T16)</f>
        <v>79</v>
      </c>
    </row>
    <row r="32" spans="1:20">
      <c r="A32" t="str">
        <f>'3.ISC '!A16</f>
        <v>Production units</v>
      </c>
      <c r="B32" t="str">
        <f>'3.ISC '!B16</f>
        <v>Production number</v>
      </c>
      <c r="C32" t="str">
        <f>'3.ISC '!C16</f>
        <v>&gt;</v>
      </c>
      <c r="D32" t="str">
        <f>'3.ISC '!D16</f>
        <v>1332/1400</v>
      </c>
      <c r="E32" t="str">
        <f>'3.ISC '!E16</f>
        <v>No.</v>
      </c>
      <c r="F32" t="str">
        <f>'3.ISC '!F16</f>
        <v>Higher the better</v>
      </c>
      <c r="G32" t="str">
        <f>'3.ISC '!G16</f>
        <v>Monthly</v>
      </c>
      <c r="H32" t="str">
        <f>IF('3.ISC '!H17="","",'3.ISC '!H17)</f>
        <v>Actual</v>
      </c>
      <c r="I32">
        <f>IF('3.ISC '!I17="","",'3.ISC '!I17)</f>
        <v>113</v>
      </c>
      <c r="J32">
        <f>IF('3.ISC '!J17="","",'3.ISC '!J17)</f>
        <v>119</v>
      </c>
      <c r="K32">
        <f>IF('3.ISC '!K17="","",'3.ISC '!K17)</f>
        <v>111</v>
      </c>
      <c r="L32">
        <f>IF('3.ISC '!L17="","",'3.ISC '!L17)</f>
        <v>89</v>
      </c>
      <c r="M32">
        <f>IF('3.ISC '!M17="","",'3.ISC '!M17)</f>
        <v>113</v>
      </c>
      <c r="N32">
        <f>IF('3.ISC '!N17="","",'3.ISC '!N17)</f>
        <v>109</v>
      </c>
      <c r="O32">
        <f>IF('3.ISC '!O17="","",'3.ISC '!O17)</f>
        <v>116</v>
      </c>
      <c r="P32" t="str">
        <f>IF('3.ISC '!P17="","",'3.ISC '!P17)</f>
        <v/>
      </c>
      <c r="Q32" t="str">
        <f>IF('3.ISC '!Q17="","",'3.ISC '!Q17)</f>
        <v/>
      </c>
      <c r="R32" t="str">
        <f>IF('3.ISC '!R17="","",'3.ISC '!R17)</f>
        <v/>
      </c>
      <c r="S32" t="str">
        <f>IF('3.ISC '!S17="","",'3.ISC '!S17)</f>
        <v/>
      </c>
      <c r="T32" t="str">
        <f>IF('3.ISC '!T17="","",'3.ISC '!T17)</f>
        <v/>
      </c>
    </row>
    <row r="33" spans="1:20">
      <c r="A33" t="str">
        <f>'3.ISC '!A18</f>
        <v>CTB (12 weeks)</v>
      </c>
      <c r="B33" t="str">
        <f>'3.ISC '!B18</f>
        <v>Clear to build material avaialbility</v>
      </c>
      <c r="C33" t="str">
        <f>'3.ISC '!C18</f>
        <v>&gt;</v>
      </c>
      <c r="D33">
        <f>'3.ISC '!D18</f>
        <v>0.9</v>
      </c>
      <c r="E33" t="str">
        <f>'3.ISC '!E18</f>
        <v>%</v>
      </c>
      <c r="F33" t="str">
        <f>'3.ISC '!F18</f>
        <v>Higher the better</v>
      </c>
      <c r="G33" t="str">
        <f>'3.ISC '!G18</f>
        <v>Monthly</v>
      </c>
      <c r="H33" t="str">
        <f>IF('3.ISC '!H18="","",'3.ISC '!H18)</f>
        <v>Target</v>
      </c>
      <c r="I33" s="264">
        <f>IF('3.ISC '!I18="","",'3.ISC '!I18)</f>
        <v>0.85</v>
      </c>
      <c r="J33" s="264">
        <f>IF('3.ISC '!J18="","",'3.ISC '!J18)</f>
        <v>0.87</v>
      </c>
      <c r="K33" s="264">
        <f>IF('3.ISC '!K18="","",'3.ISC '!K18)</f>
        <v>0.9</v>
      </c>
      <c r="L33" s="264">
        <f>IF('3.ISC '!L18="","",'3.ISC '!L18)</f>
        <v>0.9</v>
      </c>
      <c r="M33" s="264">
        <f>IF('3.ISC '!M18="","",'3.ISC '!M18)</f>
        <v>0.9</v>
      </c>
      <c r="N33" s="264">
        <f>IF('3.ISC '!N18="","",'3.ISC '!N18)</f>
        <v>0.9</v>
      </c>
      <c r="O33" s="264">
        <f>IF('3.ISC '!O18="","",'3.ISC '!O18)</f>
        <v>0.9</v>
      </c>
      <c r="P33" s="264">
        <f>IF('3.ISC '!P18="","",'3.ISC '!P18)</f>
        <v>0.9</v>
      </c>
      <c r="Q33" s="264">
        <f>IF('3.ISC '!Q18="","",'3.ISC '!Q18)</f>
        <v>0.92</v>
      </c>
      <c r="R33" s="264">
        <f>IF('3.ISC '!R18="","",'3.ISC '!R18)</f>
        <v>0.92</v>
      </c>
      <c r="S33" s="264">
        <f>IF('3.ISC '!S18="","",'3.ISC '!S18)</f>
        <v>0.92</v>
      </c>
      <c r="T33" s="264">
        <f>IF('3.ISC '!T18="","",'3.ISC '!T18)</f>
        <v>0.92</v>
      </c>
    </row>
    <row r="34" spans="1:20">
      <c r="A34" t="str">
        <f>'3.ISC '!A18</f>
        <v>CTB (12 weeks)</v>
      </c>
      <c r="B34" t="str">
        <f>'3.ISC '!B18</f>
        <v>Clear to build material avaialbility</v>
      </c>
      <c r="C34" t="str">
        <f>'3.ISC '!C18</f>
        <v>&gt;</v>
      </c>
      <c r="D34">
        <f>'3.ISC '!D18</f>
        <v>0.9</v>
      </c>
      <c r="E34" t="str">
        <f>'3.ISC '!E18</f>
        <v>%</v>
      </c>
      <c r="F34" t="str">
        <f>'3.ISC '!F18</f>
        <v>Higher the better</v>
      </c>
      <c r="G34" t="str">
        <f>'3.ISC '!G18</f>
        <v>Monthly</v>
      </c>
      <c r="H34" t="str">
        <f>IF('3.ISC '!H19="","",'3.ISC '!H19)</f>
        <v>Actual</v>
      </c>
      <c r="I34" s="264">
        <f>IF('3.ISC '!I19="","",'3.ISC '!I19)</f>
        <v>0.93</v>
      </c>
      <c r="J34" s="264">
        <f>IF('3.ISC '!J19="","",'3.ISC '!J19)</f>
        <v>0.89</v>
      </c>
      <c r="K34" s="264">
        <f>IF('3.ISC '!K19="","",'3.ISC '!K19)</f>
        <v>0.88</v>
      </c>
      <c r="L34" s="264">
        <f>IF('3.ISC '!L19="","",'3.ISC '!L19)</f>
        <v>0.84</v>
      </c>
      <c r="M34" s="264">
        <f>IF('3.ISC '!M19="","",'3.ISC '!M19)</f>
        <v>0.93</v>
      </c>
      <c r="N34" s="264">
        <f>IF('3.ISC '!N19="","",'3.ISC '!N19)</f>
        <v>0.93</v>
      </c>
      <c r="O34" s="264">
        <f>IF('3.ISC '!O19="","",'3.ISC '!O19)</f>
        <v>0.92</v>
      </c>
      <c r="P34" s="264">
        <f>IF('3.ISC '!P19="","",'3.ISC '!P19)</f>
        <v>0.96</v>
      </c>
      <c r="Q34" s="264" t="str">
        <f>IF('3.ISC '!Q19="","",'3.ISC '!Q19)</f>
        <v/>
      </c>
      <c r="R34" s="264" t="str">
        <f>IF('3.ISC '!R19="","",'3.ISC '!R19)</f>
        <v/>
      </c>
      <c r="S34" s="264" t="str">
        <f>IF('3.ISC '!S19="","",'3.ISC '!S19)</f>
        <v/>
      </c>
      <c r="T34" s="264" t="str">
        <f>IF('3.ISC '!T19="","",'3.ISC '!T19)</f>
        <v/>
      </c>
    </row>
    <row r="35" spans="1:20">
      <c r="A35" t="str">
        <f>'3.ISC '!A20</f>
        <v xml:space="preserve">OOH % </v>
      </c>
      <c r="B35" t="str">
        <f>'3.ISC '!B20</f>
        <v>OOH % for revnue in the Qtr</v>
      </c>
      <c r="C35" t="str">
        <f>'3.ISC '!C20</f>
        <v>&gt;</v>
      </c>
      <c r="D35" t="str">
        <f>'3.ISC '!D20</f>
        <v>%</v>
      </c>
      <c r="E35" t="str">
        <f>'3.ISC '!E20</f>
        <v>%</v>
      </c>
      <c r="F35" t="str">
        <f>'3.ISC '!F20</f>
        <v>Higher the better</v>
      </c>
      <c r="G35" t="str">
        <f>'3.ISC '!G20</f>
        <v>Monthly</v>
      </c>
      <c r="H35" t="str">
        <f>IF('3.ISC '!H20="","",'3.ISC '!H20)</f>
        <v>Target</v>
      </c>
      <c r="I35">
        <f>IF('3.ISC '!I20="","",'3.ISC '!I20)</f>
        <v>0.8</v>
      </c>
      <c r="J35">
        <f>IF('3.ISC '!J20="","",'3.ISC '!J20)</f>
        <v>0.9</v>
      </c>
      <c r="K35">
        <f>IF('3.ISC '!K20="","",'3.ISC '!K20)</f>
        <v>0.95</v>
      </c>
      <c r="L35">
        <f>IF('3.ISC '!L20="","",'3.ISC '!L20)</f>
        <v>0.8</v>
      </c>
      <c r="M35">
        <f>IF('3.ISC '!M20="","",'3.ISC '!M20)</f>
        <v>0.9</v>
      </c>
      <c r="N35">
        <f>IF('3.ISC '!N20="","",'3.ISC '!N20)</f>
        <v>0.95</v>
      </c>
      <c r="O35">
        <f>IF('3.ISC '!O20="","",'3.ISC '!O20)</f>
        <v>0.8</v>
      </c>
      <c r="P35">
        <f>IF('3.ISC '!P20="","",'3.ISC '!P20)</f>
        <v>0.95</v>
      </c>
      <c r="Q35">
        <f>IF('3.ISC '!Q20="","",'3.ISC '!Q20)</f>
        <v>1</v>
      </c>
      <c r="R35" t="str">
        <f>IF('3.ISC '!R20="","",'3.ISC '!R20)</f>
        <v/>
      </c>
      <c r="S35" t="str">
        <f>IF('3.ISC '!S20="","",'3.ISC '!S20)</f>
        <v/>
      </c>
      <c r="T35" t="str">
        <f>IF('3.ISC '!T20="","",'3.ISC '!T20)</f>
        <v/>
      </c>
    </row>
    <row r="36" spans="1:20">
      <c r="A36" t="str">
        <f>'3.ISC '!A20</f>
        <v xml:space="preserve">OOH % </v>
      </c>
      <c r="B36" t="str">
        <f>'3.ISC '!B20</f>
        <v>OOH % for revnue in the Qtr</v>
      </c>
      <c r="C36" t="str">
        <f>'3.ISC '!C20</f>
        <v>&gt;</v>
      </c>
      <c r="D36" t="str">
        <f>'3.ISC '!D20</f>
        <v>%</v>
      </c>
      <c r="E36" t="str">
        <f>'3.ISC '!E20</f>
        <v>%</v>
      </c>
      <c r="F36" t="str">
        <f>'3.ISC '!F20</f>
        <v>Higher the better</v>
      </c>
      <c r="G36" t="str">
        <f>'3.ISC '!G20</f>
        <v>Monthly</v>
      </c>
      <c r="H36" t="str">
        <f>IF('3.ISC '!H21="","",'3.ISC '!H21)</f>
        <v>Actual</v>
      </c>
      <c r="I36">
        <f>IF('3.ISC '!I21="","",'3.ISC '!I21)</f>
        <v>0.8</v>
      </c>
      <c r="J36">
        <f>IF('3.ISC '!J21="","",'3.ISC '!J21)</f>
        <v>0.9</v>
      </c>
      <c r="K36">
        <f>IF('3.ISC '!K21="","",'3.ISC '!K21)</f>
        <v>1.02</v>
      </c>
      <c r="L36">
        <f>IF('3.ISC '!L21="","",'3.ISC '!L21)</f>
        <v>0.6</v>
      </c>
      <c r="M36">
        <f>IF('3.ISC '!M21="","",'3.ISC '!M21)</f>
        <v>0.72</v>
      </c>
      <c r="N36">
        <f>IF('3.ISC '!N21="","",'3.ISC '!N21)</f>
        <v>0.81</v>
      </c>
      <c r="O36">
        <f>IF('3.ISC '!O21="","",'3.ISC '!O21)</f>
        <v>0.56000000000000005</v>
      </c>
      <c r="P36">
        <f>IF('3.ISC '!P21="","",'3.ISC '!P21)</f>
        <v>0.71</v>
      </c>
      <c r="Q36" t="str">
        <f>IF('3.ISC '!Q21="","",'3.ISC '!Q21)</f>
        <v/>
      </c>
      <c r="R36" t="str">
        <f>IF('3.ISC '!R21="","",'3.ISC '!R21)</f>
        <v/>
      </c>
      <c r="S36" t="str">
        <f>IF('3.ISC '!S21="","",'3.ISC '!S21)</f>
        <v/>
      </c>
      <c r="T36" t="str">
        <f>IF('3.ISC '!T21="","",'3.ISC '!T21)</f>
        <v/>
      </c>
    </row>
    <row r="37" spans="1:20">
      <c r="A37" t="str">
        <f>'3.ISC '!A22</f>
        <v xml:space="preserve">Market Inventory  </v>
      </c>
      <c r="B37" t="str">
        <f>'3.ISC '!B22</f>
        <v>Market inventory</v>
      </c>
      <c r="C37" t="str">
        <f>'3.ISC '!C22</f>
        <v>&lt;</v>
      </c>
      <c r="D37" t="str">
        <f>'3.ISC '!D22</f>
        <v>10 % reduction</v>
      </c>
      <c r="E37" t="str">
        <f>'3.ISC '!E22</f>
        <v>Mn</v>
      </c>
      <c r="F37" t="str">
        <f>'3.ISC '!F22</f>
        <v>Lower the better</v>
      </c>
      <c r="G37" t="str">
        <f>'3.ISC '!G22</f>
        <v>Monthly</v>
      </c>
      <c r="H37" t="str">
        <f>IF('3.ISC '!H22="","",'3.ISC '!H22)</f>
        <v>Target</v>
      </c>
      <c r="I37" s="88">
        <f>IF('3.ISC '!I22="","",'3.ISC '!I22)</f>
        <v>11.540479330384791</v>
      </c>
      <c r="J37" s="88">
        <f>IF('3.ISC '!J22="","",'3.ISC '!J22)</f>
        <v>13.98559311072262</v>
      </c>
      <c r="K37" s="88">
        <f>IF('3.ISC '!K22="","",'3.ISC '!K22)</f>
        <v>14.900208214760385</v>
      </c>
      <c r="L37" s="88">
        <f>IF('3.ISC '!L22="","",'3.ISC '!L22)</f>
        <v>15.546561399682577</v>
      </c>
      <c r="M37" s="88">
        <f>IF('3.ISC '!M22="","",'3.ISC '!M22)</f>
        <v>12.923735121949836</v>
      </c>
      <c r="N37" s="88">
        <f>IF('3.ISC '!N22="","",'3.ISC '!N22)</f>
        <v>13.018237711231944</v>
      </c>
      <c r="O37" s="88">
        <f>IF('3.ISC '!O22="","",'3.ISC '!O22)</f>
        <v>11.3455024479378</v>
      </c>
      <c r="P37" s="88">
        <f>IF('3.ISC '!P22="","",'3.ISC '!P22)</f>
        <v>11.432870041027915</v>
      </c>
      <c r="Q37" s="88">
        <f>IF('3.ISC '!Q22="","",'3.ISC '!Q22)</f>
        <v>14.888579668012852</v>
      </c>
      <c r="R37" s="88">
        <f>IF('3.ISC '!R22="","",'3.ISC '!R22)</f>
        <v>13.436984883293293</v>
      </c>
      <c r="S37" s="88">
        <f>IF('3.ISC '!S22="","",'3.ISC '!S22)</f>
        <v>15.144875252863704</v>
      </c>
      <c r="T37" s="88">
        <f>IF('3.ISC '!T22="","",'3.ISC '!T22)</f>
        <v>9.5717962887609644</v>
      </c>
    </row>
    <row r="38" spans="1:20">
      <c r="A38" t="str">
        <f>'3.ISC '!A22</f>
        <v xml:space="preserve">Market Inventory  </v>
      </c>
      <c r="B38" t="str">
        <f>'3.ISC '!B22</f>
        <v>Market inventory</v>
      </c>
      <c r="C38" t="str">
        <f>'3.ISC '!C22</f>
        <v>&lt;</v>
      </c>
      <c r="D38" t="str">
        <f>'3.ISC '!D22</f>
        <v>10 % reduction</v>
      </c>
      <c r="E38" t="str">
        <f>'3.ISC '!E22</f>
        <v>Mn</v>
      </c>
      <c r="F38" t="str">
        <f>'3.ISC '!F22</f>
        <v>Lower the better</v>
      </c>
      <c r="G38" t="str">
        <f>'3.ISC '!G22</f>
        <v>Monthly</v>
      </c>
      <c r="H38" t="str">
        <f>IF('3.ISC '!H23="","",'3.ISC '!H23)</f>
        <v>Actual</v>
      </c>
      <c r="I38" s="88">
        <f>IF('3.ISC '!I23="","",'3.ISC '!I23)</f>
        <v>17.3</v>
      </c>
      <c r="J38" s="88">
        <f>IF('3.ISC '!J23="","",'3.ISC '!J23)</f>
        <v>21.89</v>
      </c>
      <c r="K38" s="88">
        <f>IF('3.ISC '!K23="","",'3.ISC '!K23)</f>
        <v>21.44</v>
      </c>
      <c r="L38" s="88">
        <f>IF('3.ISC '!L23="","",'3.ISC '!L23)</f>
        <v>24.02</v>
      </c>
      <c r="M38" s="88">
        <f>IF('3.ISC '!M23="","",'3.ISC '!M23)</f>
        <v>24.1</v>
      </c>
      <c r="N38" s="88">
        <f>IF('3.ISC '!N23="","",'3.ISC '!N23)</f>
        <v>22.5</v>
      </c>
      <c r="O38" s="88">
        <f>IF('3.ISC '!O23="","",'3.ISC '!O23)</f>
        <v>23</v>
      </c>
      <c r="P38" s="88" t="str">
        <f>IF('3.ISC '!P23="","",'3.ISC '!P23)</f>
        <v/>
      </c>
      <c r="Q38" s="88" t="str">
        <f>IF('3.ISC '!Q23="","",'3.ISC '!Q23)</f>
        <v/>
      </c>
      <c r="R38" s="88" t="str">
        <f>IF('3.ISC '!R23="","",'3.ISC '!R23)</f>
        <v/>
      </c>
      <c r="S38" s="88" t="str">
        <f>IF('3.ISC '!S23="","",'3.ISC '!S23)</f>
        <v/>
      </c>
      <c r="T38" s="88" t="str">
        <f>IF('3.ISC '!T23="","",'3.ISC '!T23)</f>
        <v/>
      </c>
    </row>
    <row r="39" spans="1:20">
      <c r="A39" t="str">
        <f>'3.ISC '!A24</f>
        <v>CDD push out / month</v>
      </c>
      <c r="B39" t="str">
        <f>'3.ISC '!B24</f>
        <v xml:space="preserve">CDD move out during to execution </v>
      </c>
      <c r="C39" t="str">
        <f>'3.ISC '!C24</f>
        <v>&lt;=</v>
      </c>
      <c r="D39">
        <f>'3.ISC '!D24</f>
        <v>15</v>
      </c>
      <c r="E39" t="str">
        <f>'3.ISC '!E24</f>
        <v>No.</v>
      </c>
      <c r="F39" t="str">
        <f>'3.ISC '!F24</f>
        <v>Lower the better</v>
      </c>
      <c r="G39" t="str">
        <f>'3.ISC '!G24</f>
        <v>Monthly</v>
      </c>
      <c r="H39" t="str">
        <f>IF('3.ISC '!H24="","",'3.ISC '!H24)</f>
        <v>Target</v>
      </c>
      <c r="I39">
        <f>IF('3.ISC '!I24="","",'3.ISC '!I24)</f>
        <v>15</v>
      </c>
      <c r="J39">
        <f>IF('3.ISC '!J24="","",'3.ISC '!J24)</f>
        <v>15</v>
      </c>
      <c r="K39">
        <f>IF('3.ISC '!K24="","",'3.ISC '!K24)</f>
        <v>15</v>
      </c>
      <c r="L39">
        <f>IF('3.ISC '!L24="","",'3.ISC '!L24)</f>
        <v>15</v>
      </c>
      <c r="M39">
        <f>IF('3.ISC '!M24="","",'3.ISC '!M24)</f>
        <v>15</v>
      </c>
      <c r="N39">
        <f>IF('3.ISC '!N24="","",'3.ISC '!N24)</f>
        <v>15</v>
      </c>
      <c r="O39">
        <f>IF('3.ISC '!O24="","",'3.ISC '!O24)</f>
        <v>15</v>
      </c>
      <c r="P39">
        <f>IF('3.ISC '!P24="","",'3.ISC '!P24)</f>
        <v>15</v>
      </c>
      <c r="Q39">
        <f>IF('3.ISC '!Q24="","",'3.ISC '!Q24)</f>
        <v>15</v>
      </c>
      <c r="R39">
        <f>IF('3.ISC '!R24="","",'3.ISC '!R24)</f>
        <v>15</v>
      </c>
      <c r="S39">
        <f>IF('3.ISC '!S24="","",'3.ISC '!S24)</f>
        <v>15</v>
      </c>
      <c r="T39">
        <f>IF('3.ISC '!T24="","",'3.ISC '!T24)</f>
        <v>15</v>
      </c>
    </row>
    <row r="40" spans="1:20">
      <c r="A40" t="str">
        <f>'3.ISC '!A24</f>
        <v>CDD push out / month</v>
      </c>
      <c r="B40" t="str">
        <f>'3.ISC '!B24</f>
        <v xml:space="preserve">CDD move out during to execution </v>
      </c>
      <c r="C40" t="str">
        <f>'3.ISC '!C24</f>
        <v>&lt;=</v>
      </c>
      <c r="D40">
        <f>'3.ISC '!D24</f>
        <v>15</v>
      </c>
      <c r="E40" t="str">
        <f>'3.ISC '!E24</f>
        <v>No.</v>
      </c>
      <c r="F40" t="str">
        <f>'3.ISC '!F24</f>
        <v>Lower the better</v>
      </c>
      <c r="G40" t="str">
        <f>'3.ISC '!G24</f>
        <v>Monthly</v>
      </c>
      <c r="H40" t="str">
        <f>IF('3.ISC '!H25="","",'3.ISC '!H25)</f>
        <v>Actual</v>
      </c>
      <c r="I40">
        <f>IF('3.ISC '!I25="","",'3.ISC '!I25)</f>
        <v>7</v>
      </c>
      <c r="J40">
        <f>IF('3.ISC '!J25="","",'3.ISC '!J25)</f>
        <v>8</v>
      </c>
      <c r="K40">
        <f>IF('3.ISC '!K25="","",'3.ISC '!K25)</f>
        <v>28</v>
      </c>
      <c r="L40">
        <f>IF('3.ISC '!L25="","",'3.ISC '!L25)</f>
        <v>16</v>
      </c>
      <c r="M40">
        <f>IF('3.ISC '!M25="","",'3.ISC '!M25)</f>
        <v>20</v>
      </c>
      <c r="N40">
        <f>IF('3.ISC '!N25="","",'3.ISC '!N25)</f>
        <v>9</v>
      </c>
      <c r="O40">
        <f>IF('3.ISC '!O25="","",'3.ISC '!O25)</f>
        <v>13</v>
      </c>
      <c r="P40" t="str">
        <f>IF('3.ISC '!P25="","",'3.ISC '!P25)</f>
        <v/>
      </c>
      <c r="Q40" t="str">
        <f>IF('3.ISC '!Q25="","",'3.ISC '!Q25)</f>
        <v/>
      </c>
      <c r="R40" t="str">
        <f>IF('3.ISC '!R25="","",'3.ISC '!R25)</f>
        <v/>
      </c>
      <c r="S40" t="str">
        <f>IF('3.ISC '!S25="","",'3.ISC '!S25)</f>
        <v/>
      </c>
      <c r="T40" t="str">
        <f>IF('3.ISC '!T25="","",'3.ISC '!T25)</f>
        <v/>
      </c>
    </row>
    <row r="42" spans="1:20">
      <c r="A42" s="13" t="s">
        <v>77</v>
      </c>
    </row>
    <row r="43" spans="1:20">
      <c r="A43" t="s">
        <v>58</v>
      </c>
      <c r="B43" t="s">
        <v>59</v>
      </c>
      <c r="C43" t="s">
        <v>5</v>
      </c>
      <c r="D43" t="s">
        <v>60</v>
      </c>
      <c r="E43" t="s">
        <v>7</v>
      </c>
      <c r="F43" t="s">
        <v>61</v>
      </c>
      <c r="G43" t="s">
        <v>9</v>
      </c>
      <c r="H43" t="s">
        <v>62</v>
      </c>
      <c r="I43" s="261" t="s">
        <v>63</v>
      </c>
      <c r="J43" s="261" t="s">
        <v>64</v>
      </c>
      <c r="K43" s="261" t="s">
        <v>65</v>
      </c>
      <c r="L43" s="261" t="s">
        <v>66</v>
      </c>
      <c r="M43" s="261" t="s">
        <v>67</v>
      </c>
      <c r="N43" s="261" t="s">
        <v>68</v>
      </c>
      <c r="O43" s="261" t="s">
        <v>69</v>
      </c>
      <c r="P43" s="261" t="s">
        <v>70</v>
      </c>
      <c r="Q43" s="261" t="s">
        <v>71</v>
      </c>
      <c r="R43" s="261" t="s">
        <v>72</v>
      </c>
      <c r="S43" s="261" t="s">
        <v>73</v>
      </c>
      <c r="T43" s="262" t="s">
        <v>74</v>
      </c>
    </row>
    <row r="44" spans="1:20">
      <c r="A44" t="e">
        <f>'3.ISC '!#REF!</f>
        <v>#REF!</v>
      </c>
      <c r="B44" t="e">
        <f>'3.ISC '!#REF!</f>
        <v>#REF!</v>
      </c>
      <c r="C44" t="e">
        <f>'3.ISC '!#REF!</f>
        <v>#REF!</v>
      </c>
      <c r="D44" t="e">
        <f>'3.ISC '!#REF!</f>
        <v>#REF!</v>
      </c>
      <c r="E44" t="e">
        <f>'3.ISC '!#REF!</f>
        <v>#REF!</v>
      </c>
      <c r="F44" t="e">
        <f>'3.ISC '!#REF!</f>
        <v>#REF!</v>
      </c>
      <c r="G44" t="e">
        <f>'3.ISC '!#REF!</f>
        <v>#REF!</v>
      </c>
      <c r="H44" t="e">
        <f>IF('3.ISC '!#REF!="","",'3.ISC '!#REF!)</f>
        <v>#REF!</v>
      </c>
      <c r="I44" t="e">
        <f>IF('3.ISC '!#REF!="","",'3.ISC '!#REF!)</f>
        <v>#REF!</v>
      </c>
      <c r="J44" t="e">
        <f>IF('3.ISC '!#REF!="","",'3.ISC '!#REF!)</f>
        <v>#REF!</v>
      </c>
      <c r="K44" t="e">
        <f>IF('3.ISC '!#REF!="","",'3.ISC '!#REF!)</f>
        <v>#REF!</v>
      </c>
      <c r="L44" t="e">
        <f>IF('3.ISC '!#REF!="","",'3.ISC '!#REF!)</f>
        <v>#REF!</v>
      </c>
      <c r="M44" t="e">
        <f>IF('3.ISC '!#REF!="","",'3.ISC '!#REF!)</f>
        <v>#REF!</v>
      </c>
      <c r="N44" t="e">
        <f>IF('3.ISC '!#REF!="","",'3.ISC '!#REF!)</f>
        <v>#REF!</v>
      </c>
      <c r="O44" t="e">
        <f>IF('3.ISC '!#REF!="","",'3.ISC '!#REF!)</f>
        <v>#REF!</v>
      </c>
      <c r="P44" t="e">
        <f>IF('3.ISC '!#REF!="","",'3.ISC '!#REF!)</f>
        <v>#REF!</v>
      </c>
      <c r="Q44" t="e">
        <f>IF('3.ISC '!#REF!="","",'3.ISC '!#REF!)</f>
        <v>#REF!</v>
      </c>
      <c r="R44" t="e">
        <f>IF('3.ISC '!#REF!="","",'3.ISC '!#REF!)</f>
        <v>#REF!</v>
      </c>
      <c r="S44" t="e">
        <f>IF('3.ISC '!#REF!="","",'3.ISC '!#REF!)</f>
        <v>#REF!</v>
      </c>
      <c r="T44" t="e">
        <f>IF('3.ISC '!#REF!="","",'3.ISC '!#REF!)</f>
        <v>#REF!</v>
      </c>
    </row>
    <row r="45" spans="1:20">
      <c r="A45" t="e">
        <f>'3.ISC '!#REF!</f>
        <v>#REF!</v>
      </c>
      <c r="B45" t="e">
        <f>'3.ISC '!#REF!</f>
        <v>#REF!</v>
      </c>
      <c r="C45" t="e">
        <f>'3.ISC '!#REF!</f>
        <v>#REF!</v>
      </c>
      <c r="D45" t="e">
        <f>'3.ISC '!#REF!</f>
        <v>#REF!</v>
      </c>
      <c r="E45" t="e">
        <f>'3.ISC '!#REF!</f>
        <v>#REF!</v>
      </c>
      <c r="F45" t="e">
        <f>'3.ISC '!#REF!</f>
        <v>#REF!</v>
      </c>
      <c r="G45" t="e">
        <f>'3.ISC '!#REF!</f>
        <v>#REF!</v>
      </c>
      <c r="H45" t="e">
        <f>IF('3.ISC '!#REF!="","",'3.ISC '!#REF!)</f>
        <v>#REF!</v>
      </c>
      <c r="I45" t="e">
        <f>IF('3.ISC '!#REF!="","",'3.ISC '!#REF!)</f>
        <v>#REF!</v>
      </c>
      <c r="J45" t="e">
        <f>IF('3.ISC '!#REF!="","",'3.ISC '!#REF!)</f>
        <v>#REF!</v>
      </c>
      <c r="K45" t="e">
        <f>IF('3.ISC '!#REF!="","",'3.ISC '!#REF!)</f>
        <v>#REF!</v>
      </c>
      <c r="L45" t="e">
        <f>IF('3.ISC '!#REF!="","",'3.ISC '!#REF!)</f>
        <v>#REF!</v>
      </c>
      <c r="M45" t="e">
        <f>IF('3.ISC '!#REF!="","",'3.ISC '!#REF!)</f>
        <v>#REF!</v>
      </c>
      <c r="N45" t="e">
        <f>IF('3.ISC '!#REF!="","",'3.ISC '!#REF!)</f>
        <v>#REF!</v>
      </c>
      <c r="O45" t="e">
        <f>IF('3.ISC '!#REF!="","",'3.ISC '!#REF!)</f>
        <v>#REF!</v>
      </c>
      <c r="P45" t="e">
        <f>IF('3.ISC '!#REF!="","",'3.ISC '!#REF!)</f>
        <v>#REF!</v>
      </c>
      <c r="Q45" t="e">
        <f>IF('3.ISC '!#REF!="","",'3.ISC '!#REF!)</f>
        <v>#REF!</v>
      </c>
      <c r="R45" t="e">
        <f>IF('3.ISC '!#REF!="","",'3.ISC '!#REF!)</f>
        <v>#REF!</v>
      </c>
      <c r="S45" t="e">
        <f>IF('3.ISC '!#REF!="","",'3.ISC '!#REF!)</f>
        <v>#REF!</v>
      </c>
      <c r="T45" t="e">
        <f>IF('3.ISC '!#REF!="","",'3.ISC '!#REF!)</f>
        <v>#REF!</v>
      </c>
    </row>
    <row r="46" spans="1:20">
      <c r="A46" t="e">
        <f>'3.ISC '!#REF!</f>
        <v>#REF!</v>
      </c>
      <c r="B46" t="e">
        <f>'3.ISC '!#REF!</f>
        <v>#REF!</v>
      </c>
      <c r="C46" t="e">
        <f>'3.ISC '!#REF!</f>
        <v>#REF!</v>
      </c>
      <c r="D46" t="e">
        <f>'3.ISC '!#REF!</f>
        <v>#REF!</v>
      </c>
      <c r="E46" t="e">
        <f>'3.ISC '!#REF!</f>
        <v>#REF!</v>
      </c>
      <c r="F46" t="e">
        <f>'3.ISC '!#REF!</f>
        <v>#REF!</v>
      </c>
      <c r="G46" t="e">
        <f>'3.ISC '!#REF!</f>
        <v>#REF!</v>
      </c>
      <c r="H46" t="e">
        <f>IF('3.ISC '!#REF!="","",'3.ISC '!#REF!)</f>
        <v>#REF!</v>
      </c>
      <c r="I46" t="e">
        <f>IF('3.ISC '!#REF!="","",'3.ISC '!#REF!)</f>
        <v>#REF!</v>
      </c>
      <c r="J46" t="e">
        <f>IF('3.ISC '!#REF!="","",'3.ISC '!#REF!)</f>
        <v>#REF!</v>
      </c>
      <c r="K46" t="e">
        <f>IF('3.ISC '!#REF!="","",'3.ISC '!#REF!)</f>
        <v>#REF!</v>
      </c>
      <c r="L46" t="e">
        <f>IF('3.ISC '!#REF!="","",'3.ISC '!#REF!)</f>
        <v>#REF!</v>
      </c>
      <c r="M46" t="e">
        <f>IF('3.ISC '!#REF!="","",'3.ISC '!#REF!)</f>
        <v>#REF!</v>
      </c>
      <c r="N46" t="e">
        <f>IF('3.ISC '!#REF!="","",'3.ISC '!#REF!)</f>
        <v>#REF!</v>
      </c>
      <c r="O46" t="e">
        <f>IF('3.ISC '!#REF!="","",'3.ISC '!#REF!)</f>
        <v>#REF!</v>
      </c>
      <c r="P46" t="e">
        <f>IF('3.ISC '!#REF!="","",'3.ISC '!#REF!)</f>
        <v>#REF!</v>
      </c>
      <c r="Q46" t="e">
        <f>IF('3.ISC '!#REF!="","",'3.ISC '!#REF!)</f>
        <v>#REF!</v>
      </c>
      <c r="R46" t="e">
        <f>IF('3.ISC '!#REF!="","",'3.ISC '!#REF!)</f>
        <v>#REF!</v>
      </c>
      <c r="S46" t="e">
        <f>IF('3.ISC '!#REF!="","",'3.ISC '!#REF!)</f>
        <v>#REF!</v>
      </c>
      <c r="T46" t="e">
        <f>IF('3.ISC '!#REF!="","",'3.ISC '!#REF!)</f>
        <v>#REF!</v>
      </c>
    </row>
    <row r="47" spans="1:20">
      <c r="A47" t="e">
        <f>'3.ISC '!#REF!</f>
        <v>#REF!</v>
      </c>
      <c r="B47" t="e">
        <f>'3.ISC '!#REF!</f>
        <v>#REF!</v>
      </c>
      <c r="C47" t="e">
        <f>'3.ISC '!#REF!</f>
        <v>#REF!</v>
      </c>
      <c r="D47" t="e">
        <f>'3.ISC '!#REF!</f>
        <v>#REF!</v>
      </c>
      <c r="E47" t="e">
        <f>'3.ISC '!#REF!</f>
        <v>#REF!</v>
      </c>
      <c r="F47" t="e">
        <f>'3.ISC '!#REF!</f>
        <v>#REF!</v>
      </c>
      <c r="G47" t="e">
        <f>'3.ISC '!#REF!</f>
        <v>#REF!</v>
      </c>
      <c r="H47" t="e">
        <f>IF('3.ISC '!#REF!="","",'3.ISC '!#REF!)</f>
        <v>#REF!</v>
      </c>
      <c r="I47" t="e">
        <f>IF('3.ISC '!#REF!="","",'3.ISC '!#REF!)</f>
        <v>#REF!</v>
      </c>
      <c r="J47" t="e">
        <f>IF('3.ISC '!#REF!="","",'3.ISC '!#REF!)</f>
        <v>#REF!</v>
      </c>
      <c r="K47" t="e">
        <f>IF('3.ISC '!#REF!="","",'3.ISC '!#REF!)</f>
        <v>#REF!</v>
      </c>
      <c r="L47" t="e">
        <f>IF('3.ISC '!#REF!="","",'3.ISC '!#REF!)</f>
        <v>#REF!</v>
      </c>
      <c r="M47" t="e">
        <f>IF('3.ISC '!#REF!="","",'3.ISC '!#REF!)</f>
        <v>#REF!</v>
      </c>
      <c r="N47" t="e">
        <f>IF('3.ISC '!#REF!="","",'3.ISC '!#REF!)</f>
        <v>#REF!</v>
      </c>
      <c r="O47" t="e">
        <f>IF('3.ISC '!#REF!="","",'3.ISC '!#REF!)</f>
        <v>#REF!</v>
      </c>
      <c r="P47" t="e">
        <f>IF('3.ISC '!#REF!="","",'3.ISC '!#REF!)</f>
        <v>#REF!</v>
      </c>
      <c r="Q47" t="e">
        <f>IF('3.ISC '!#REF!="","",'3.ISC '!#REF!)</f>
        <v>#REF!</v>
      </c>
      <c r="R47" t="e">
        <f>IF('3.ISC '!#REF!="","",'3.ISC '!#REF!)</f>
        <v>#REF!</v>
      </c>
      <c r="S47" t="e">
        <f>IF('3.ISC '!#REF!="","",'3.ISC '!#REF!)</f>
        <v>#REF!</v>
      </c>
      <c r="T47" t="e">
        <f>IF('3.ISC '!#REF!="","",'3.ISC '!#REF!)</f>
        <v>#REF!</v>
      </c>
    </row>
    <row r="49" spans="1:20">
      <c r="A49" s="13" t="s">
        <v>78</v>
      </c>
    </row>
    <row r="50" spans="1:20">
      <c r="A50" t="s">
        <v>58</v>
      </c>
      <c r="B50" t="s">
        <v>59</v>
      </c>
      <c r="C50" t="s">
        <v>5</v>
      </c>
      <c r="D50" t="s">
        <v>60</v>
      </c>
      <c r="E50" t="s">
        <v>7</v>
      </c>
      <c r="F50" t="s">
        <v>61</v>
      </c>
      <c r="G50" t="s">
        <v>9</v>
      </c>
      <c r="H50" t="s">
        <v>62</v>
      </c>
      <c r="I50" s="261" t="s">
        <v>63</v>
      </c>
      <c r="J50" s="261" t="s">
        <v>64</v>
      </c>
      <c r="K50" s="261" t="s">
        <v>65</v>
      </c>
      <c r="L50" s="261" t="s">
        <v>66</v>
      </c>
      <c r="M50" s="261" t="s">
        <v>67</v>
      </c>
      <c r="N50" s="261" t="s">
        <v>68</v>
      </c>
      <c r="O50" s="261" t="s">
        <v>69</v>
      </c>
      <c r="P50" s="261" t="s">
        <v>70</v>
      </c>
      <c r="Q50" s="261" t="s">
        <v>71</v>
      </c>
      <c r="R50" s="261" t="s">
        <v>72</v>
      </c>
      <c r="S50" s="261" t="s">
        <v>73</v>
      </c>
      <c r="T50" s="262" t="s">
        <v>74</v>
      </c>
    </row>
    <row r="51" spans="1:20">
      <c r="A51" t="str">
        <f>'4.Procurement'!A14</f>
        <v>RFQ closure to meet NPI / MLD deliverables</v>
      </c>
      <c r="B51" t="str">
        <f>'4.Procurement'!B14</f>
        <v>No of RFQ closed on time</v>
      </c>
      <c r="C51" t="str">
        <f>'4.Procurement'!C14</f>
        <v>&lt;=</v>
      </c>
      <c r="D51">
        <f>'4.Procurement'!D14</f>
        <v>1</v>
      </c>
      <c r="E51" t="str">
        <f>'4.Procurement'!E14</f>
        <v>%</v>
      </c>
      <c r="F51" t="str">
        <f>'4.Procurement'!F14</f>
        <v>Higher the better</v>
      </c>
      <c r="G51" t="str">
        <f>'4.Procurement'!G14</f>
        <v>Monthly</v>
      </c>
      <c r="H51" t="str">
        <f>IF('4.Procurement'!H14="","",'4.Procurement'!H14)</f>
        <v>Target</v>
      </c>
      <c r="I51">
        <f>IF('4.Procurement'!I14="","",'4.Procurement'!I14)</f>
        <v>15</v>
      </c>
      <c r="J51">
        <f>IF('4.Procurement'!J14="","",'4.Procurement'!J14)</f>
        <v>10</v>
      </c>
      <c r="K51">
        <f>IF('4.Procurement'!K14="","",'4.Procurement'!K14)</f>
        <v>15</v>
      </c>
      <c r="L51">
        <f>IF('4.Procurement'!L14="","",'4.Procurement'!L14)</f>
        <v>22</v>
      </c>
      <c r="M51">
        <f>IF('4.Procurement'!M14="","",'4.Procurement'!M14)</f>
        <v>1</v>
      </c>
      <c r="N51">
        <f>IF('4.Procurement'!N14="","",'4.Procurement'!N14)</f>
        <v>10</v>
      </c>
      <c r="O51">
        <f>IF('4.Procurement'!O14="","",'4.Procurement'!O14)</f>
        <v>1</v>
      </c>
      <c r="P51">
        <f>IF('4.Procurement'!P14="","",'4.Procurement'!P14)</f>
        <v>0</v>
      </c>
      <c r="Q51">
        <f>IF('4.Procurement'!Q14="","",'4.Procurement'!Q14)</f>
        <v>0</v>
      </c>
      <c r="R51">
        <f>IF('4.Procurement'!R14="","",'4.Procurement'!R14)</f>
        <v>0</v>
      </c>
      <c r="S51">
        <f>IF('4.Procurement'!S14="","",'4.Procurement'!S14)</f>
        <v>0</v>
      </c>
      <c r="T51">
        <f>IF('4.Procurement'!T14="","",'4.Procurement'!T14)</f>
        <v>0</v>
      </c>
    </row>
    <row r="52" spans="1:20">
      <c r="A52" t="str">
        <f>'4.Procurement'!A14</f>
        <v>RFQ closure to meet NPI / MLD deliverables</v>
      </c>
      <c r="B52" t="str">
        <f>'4.Procurement'!B14</f>
        <v>No of RFQ closed on time</v>
      </c>
      <c r="C52" t="str">
        <f>'4.Procurement'!C14</f>
        <v>&lt;=</v>
      </c>
      <c r="D52">
        <f>'4.Procurement'!D14</f>
        <v>1</v>
      </c>
      <c r="E52" t="str">
        <f>'4.Procurement'!E14</f>
        <v>%</v>
      </c>
      <c r="F52" t="str">
        <f>'4.Procurement'!F14</f>
        <v>Higher the better</v>
      </c>
      <c r="G52" t="str">
        <f>'4.Procurement'!G14</f>
        <v>Monthly</v>
      </c>
      <c r="H52" t="str">
        <f>IF('4.Procurement'!H15="","",'4.Procurement'!H15)</f>
        <v>Actual</v>
      </c>
      <c r="I52">
        <f>IF('4.Procurement'!I15="","",'4.Procurement'!I15)</f>
        <v>15</v>
      </c>
      <c r="J52">
        <f>IF('4.Procurement'!J15="","",'4.Procurement'!J15)</f>
        <v>9</v>
      </c>
      <c r="K52">
        <f>IF('4.Procurement'!K15="","",'4.Procurement'!K15)</f>
        <v>15</v>
      </c>
      <c r="L52">
        <f>IF('4.Procurement'!L15="","",'4.Procurement'!L15)</f>
        <v>22</v>
      </c>
      <c r="M52">
        <f>IF('4.Procurement'!M15="","",'4.Procurement'!M15)</f>
        <v>1</v>
      </c>
      <c r="N52">
        <f>IF('4.Procurement'!N15="","",'4.Procurement'!N15)</f>
        <v>10</v>
      </c>
      <c r="O52">
        <f>IF('4.Procurement'!O15="","",'4.Procurement'!O15)</f>
        <v>1</v>
      </c>
      <c r="P52" t="str">
        <f>IF('4.Procurement'!P15="","",'4.Procurement'!P15)</f>
        <v/>
      </c>
      <c r="Q52" t="str">
        <f>IF('4.Procurement'!Q15="","",'4.Procurement'!Q15)</f>
        <v/>
      </c>
      <c r="R52" t="str">
        <f>IF('4.Procurement'!R15="","",'4.Procurement'!R15)</f>
        <v/>
      </c>
      <c r="S52" t="str">
        <f>IF('4.Procurement'!S15="","",'4.Procurement'!S15)</f>
        <v/>
      </c>
      <c r="T52" t="str">
        <f>IF('4.Procurement'!T15="","",'4.Procurement'!T15)</f>
        <v/>
      </c>
    </row>
    <row r="53" spans="1:20">
      <c r="A53" t="str">
        <f>'4.Procurement'!A16</f>
        <v>Supplier selection to meet NPI / MLD deliverables</v>
      </c>
      <c r="B53" t="str">
        <f>'4.Procurement'!B16</f>
        <v>supplier selection per 12 NC for NPI</v>
      </c>
      <c r="C53" t="str">
        <f>'4.Procurement'!C16</f>
        <v>&lt;=</v>
      </c>
      <c r="D53">
        <f>'4.Procurement'!D16</f>
        <v>1</v>
      </c>
      <c r="E53" t="str">
        <f>'4.Procurement'!E16</f>
        <v>%</v>
      </c>
      <c r="F53" t="str">
        <f>'4.Procurement'!F16</f>
        <v>Higher the better</v>
      </c>
      <c r="G53" t="str">
        <f>'4.Procurement'!G16</f>
        <v>Monthly</v>
      </c>
      <c r="H53" t="str">
        <f>IF('4.Procurement'!H16="","",'4.Procurement'!H16)</f>
        <v>Target</v>
      </c>
      <c r="I53">
        <f>IF('4.Procurement'!I16="","",'4.Procurement'!I16)</f>
        <v>5</v>
      </c>
      <c r="J53">
        <f>IF('4.Procurement'!J16="","",'4.Procurement'!J16)</f>
        <v>8</v>
      </c>
      <c r="K53">
        <f>IF('4.Procurement'!K16="","",'4.Procurement'!K16)</f>
        <v>0</v>
      </c>
      <c r="L53">
        <f>IF('4.Procurement'!L16="","",'4.Procurement'!L16)</f>
        <v>0</v>
      </c>
      <c r="M53">
        <f>IF('4.Procurement'!M16="","",'4.Procurement'!M16)</f>
        <v>0</v>
      </c>
      <c r="N53">
        <f>IF('4.Procurement'!N16="","",'4.Procurement'!N16)</f>
        <v>0</v>
      </c>
      <c r="O53">
        <f>IF('4.Procurement'!O16="","",'4.Procurement'!O16)</f>
        <v>0</v>
      </c>
      <c r="P53">
        <f>IF('4.Procurement'!P16="","",'4.Procurement'!P16)</f>
        <v>0</v>
      </c>
      <c r="Q53">
        <f>IF('4.Procurement'!Q16="","",'4.Procurement'!Q16)</f>
        <v>0</v>
      </c>
      <c r="R53">
        <f>IF('4.Procurement'!R16="","",'4.Procurement'!R16)</f>
        <v>0</v>
      </c>
      <c r="S53">
        <f>IF('4.Procurement'!S16="","",'4.Procurement'!S16)</f>
        <v>0</v>
      </c>
      <c r="T53">
        <f>IF('4.Procurement'!T16="","",'4.Procurement'!T16)</f>
        <v>0</v>
      </c>
    </row>
    <row r="54" spans="1:20">
      <c r="A54" t="str">
        <f>'4.Procurement'!A16</f>
        <v>Supplier selection to meet NPI / MLD deliverables</v>
      </c>
      <c r="B54" t="str">
        <f>'4.Procurement'!B16</f>
        <v>supplier selection per 12 NC for NPI</v>
      </c>
      <c r="C54" t="str">
        <f>'4.Procurement'!C16</f>
        <v>&lt;=</v>
      </c>
      <c r="D54">
        <f>'4.Procurement'!D16</f>
        <v>1</v>
      </c>
      <c r="E54" t="str">
        <f>'4.Procurement'!E16</f>
        <v>%</v>
      </c>
      <c r="F54" t="str">
        <f>'4.Procurement'!F16</f>
        <v>Higher the better</v>
      </c>
      <c r="G54" t="str">
        <f>'4.Procurement'!G16</f>
        <v>Monthly</v>
      </c>
      <c r="H54" t="str">
        <f>IF('4.Procurement'!H17="","",'4.Procurement'!H17)</f>
        <v>Actual</v>
      </c>
      <c r="I54">
        <f>IF('4.Procurement'!I17="","",'4.Procurement'!I17)</f>
        <v>5</v>
      </c>
      <c r="J54">
        <f>IF('4.Procurement'!J17="","",'4.Procurement'!J17)</f>
        <v>7</v>
      </c>
      <c r="K54" t="str">
        <f>IF('4.Procurement'!K17="","",'4.Procurement'!K17)</f>
        <v>-</v>
      </c>
      <c r="L54" t="str">
        <f>IF('4.Procurement'!L17="","",'4.Procurement'!L17)</f>
        <v>-</v>
      </c>
      <c r="M54" t="str">
        <f>IF('4.Procurement'!M17="","",'4.Procurement'!M17)</f>
        <v>-</v>
      </c>
      <c r="N54" t="str">
        <f>IF('4.Procurement'!N17="","",'4.Procurement'!N17)</f>
        <v>-</v>
      </c>
      <c r="O54">
        <f>IF('4.Procurement'!O17="","",'4.Procurement'!O17)</f>
        <v>0</v>
      </c>
      <c r="P54" t="str">
        <f>IF('4.Procurement'!P17="","",'4.Procurement'!P17)</f>
        <v/>
      </c>
      <c r="Q54" t="str">
        <f>IF('4.Procurement'!Q17="","",'4.Procurement'!Q17)</f>
        <v/>
      </c>
      <c r="R54" t="str">
        <f>IF('4.Procurement'!R17="","",'4.Procurement'!R17)</f>
        <v/>
      </c>
      <c r="S54" t="str">
        <f>IF('4.Procurement'!S17="","",'4.Procurement'!S17)</f>
        <v/>
      </c>
      <c r="T54" t="str">
        <f>IF('4.Procurement'!T17="","",'4.Procurement'!T17)</f>
        <v/>
      </c>
    </row>
    <row r="55" spans="1:20">
      <c r="A55" t="str">
        <f>'4.Procurement'!A18</f>
        <v>CTB (12 weeks)</v>
      </c>
      <c r="B55" t="str">
        <f>'4.Procurement'!B18</f>
        <v>Clear to build material avaialbility</v>
      </c>
      <c r="C55" t="str">
        <f>'4.Procurement'!C18</f>
        <v>&lt;=</v>
      </c>
      <c r="D55">
        <f>'4.Procurement'!D18</f>
        <v>0.8</v>
      </c>
      <c r="E55" t="str">
        <f>'4.Procurement'!E18</f>
        <v>%</v>
      </c>
      <c r="F55" t="str">
        <f>'4.Procurement'!F18</f>
        <v>Higher the better</v>
      </c>
      <c r="G55" t="str">
        <f>'4.Procurement'!G18</f>
        <v>Monthly</v>
      </c>
      <c r="H55" t="str">
        <f>IF('4.Procurement'!H18="","",'4.Procurement'!H18)</f>
        <v>Target</v>
      </c>
      <c r="I55" s="264">
        <f>IF('4.Procurement'!I18="","",'4.Procurement'!I18)</f>
        <v>0.8</v>
      </c>
      <c r="J55" s="264">
        <f>IF('4.Procurement'!J18="","",'4.Procurement'!J18)</f>
        <v>0.8</v>
      </c>
      <c r="K55" s="264">
        <f>IF('4.Procurement'!K18="","",'4.Procurement'!K18)</f>
        <v>0.8</v>
      </c>
      <c r="L55" s="264">
        <f>IF('4.Procurement'!L18="","",'4.Procurement'!L18)</f>
        <v>0.8</v>
      </c>
      <c r="M55" s="264">
        <f>IF('4.Procurement'!M18="","",'4.Procurement'!M18)</f>
        <v>0.8</v>
      </c>
      <c r="N55" s="264">
        <f>IF('4.Procurement'!N18="","",'4.Procurement'!N18)</f>
        <v>0.8</v>
      </c>
      <c r="O55" s="264">
        <f>IF('4.Procurement'!O18="","",'4.Procurement'!O18)</f>
        <v>0.8</v>
      </c>
      <c r="P55" s="264">
        <f>IF('4.Procurement'!P18="","",'4.Procurement'!P18)</f>
        <v>0.8</v>
      </c>
      <c r="Q55" s="264">
        <f>IF('4.Procurement'!Q18="","",'4.Procurement'!Q18)</f>
        <v>0.8</v>
      </c>
      <c r="R55" s="264">
        <f>IF('4.Procurement'!R18="","",'4.Procurement'!R18)</f>
        <v>0.8</v>
      </c>
      <c r="S55" s="264">
        <f>IF('4.Procurement'!S18="","",'4.Procurement'!S18)</f>
        <v>0.8</v>
      </c>
      <c r="T55" s="264">
        <f>IF('4.Procurement'!T18="","",'4.Procurement'!T18)</f>
        <v>0.8</v>
      </c>
    </row>
    <row r="56" spans="1:20">
      <c r="A56" t="str">
        <f>'4.Procurement'!A18</f>
        <v>CTB (12 weeks)</v>
      </c>
      <c r="B56" t="str">
        <f>'4.Procurement'!B18</f>
        <v>Clear to build material avaialbility</v>
      </c>
      <c r="C56" t="str">
        <f>'4.Procurement'!C18</f>
        <v>&lt;=</v>
      </c>
      <c r="D56">
        <f>'4.Procurement'!D18</f>
        <v>0.8</v>
      </c>
      <c r="E56" t="str">
        <f>'4.Procurement'!E18</f>
        <v>%</v>
      </c>
      <c r="F56" t="str">
        <f>'4.Procurement'!F18</f>
        <v>Higher the better</v>
      </c>
      <c r="G56" t="str">
        <f>'4.Procurement'!G18</f>
        <v>Monthly</v>
      </c>
      <c r="H56" t="str">
        <f>IF('4.Procurement'!H19="","",'4.Procurement'!H19)</f>
        <v>Actual</v>
      </c>
      <c r="I56" s="264">
        <f>IF('4.Procurement'!I19="","",'4.Procurement'!I19)</f>
        <v>0.93</v>
      </c>
      <c r="J56" s="264">
        <f>IF('4.Procurement'!J19="","",'4.Procurement'!J19)</f>
        <v>0.89</v>
      </c>
      <c r="K56" s="264">
        <f>IF('4.Procurement'!K19="","",'4.Procurement'!K19)</f>
        <v>0.88</v>
      </c>
      <c r="L56" s="264">
        <f>IF('4.Procurement'!L19="","",'4.Procurement'!L19)</f>
        <v>0.84</v>
      </c>
      <c r="M56" s="264">
        <f>IF('4.Procurement'!M19="","",'4.Procurement'!M19)</f>
        <v>0.93</v>
      </c>
      <c r="N56" s="264">
        <f>IF('4.Procurement'!N19="","",'4.Procurement'!N19)</f>
        <v>0.93</v>
      </c>
      <c r="O56" s="264">
        <f>IF('4.Procurement'!O19="","",'4.Procurement'!O19)</f>
        <v>1</v>
      </c>
      <c r="P56" s="264" t="str">
        <f>IF('4.Procurement'!P19="","",'4.Procurement'!P19)</f>
        <v/>
      </c>
      <c r="Q56" s="264" t="str">
        <f>IF('4.Procurement'!Q19="","",'4.Procurement'!Q19)</f>
        <v/>
      </c>
      <c r="R56" s="264" t="str">
        <f>IF('4.Procurement'!R19="","",'4.Procurement'!R19)</f>
        <v/>
      </c>
      <c r="S56" s="264" t="str">
        <f>IF('4.Procurement'!S19="","",'4.Procurement'!S19)</f>
        <v/>
      </c>
      <c r="T56" s="264" t="str">
        <f>IF('4.Procurement'!T19="","",'4.Procurement'!T19)</f>
        <v/>
      </c>
    </row>
    <row r="57" spans="1:20">
      <c r="A57" t="str">
        <f>IF('4.Procurement'!A20= "","",'4.Procurement'!A20)</f>
        <v/>
      </c>
      <c r="B57" t="str">
        <f>IF('4.Procurement'!B20= "","",'4.Procurement'!B20)</f>
        <v/>
      </c>
      <c r="C57" t="str">
        <f>IF('4.Procurement'!C20= "","",'4.Procurement'!C20)</f>
        <v/>
      </c>
      <c r="D57" t="str">
        <f>IF('4.Procurement'!D20= "","",'4.Procurement'!D20)</f>
        <v/>
      </c>
      <c r="E57" t="str">
        <f>IF('4.Procurement'!E20= "","",'4.Procurement'!E20)</f>
        <v/>
      </c>
      <c r="F57" t="str">
        <f>IF('4.Procurement'!F20= "","",'4.Procurement'!F20)</f>
        <v/>
      </c>
      <c r="G57" t="str">
        <f>IF('4.Procurement'!G20= "","",'4.Procurement'!G20)</f>
        <v/>
      </c>
      <c r="H57" t="str">
        <f>IF('4.Procurement'!H20="","",'4.Procurement'!H20)</f>
        <v>Target</v>
      </c>
      <c r="I57">
        <f>IF('4.Procurement'!I20="","",'4.Procurement'!I20)</f>
        <v>0</v>
      </c>
      <c r="J57">
        <f>IF('4.Procurement'!J20="","",'4.Procurement'!J20)</f>
        <v>0</v>
      </c>
      <c r="K57">
        <f>IF('4.Procurement'!K20="","",'4.Procurement'!K20)</f>
        <v>0</v>
      </c>
      <c r="L57">
        <f>IF('4.Procurement'!L20="","",'4.Procurement'!L20)</f>
        <v>0</v>
      </c>
      <c r="M57">
        <f>IF('4.Procurement'!M20="","",'4.Procurement'!M20)</f>
        <v>0</v>
      </c>
      <c r="N57">
        <f>IF('4.Procurement'!N20="","",'4.Procurement'!N20)</f>
        <v>0</v>
      </c>
      <c r="O57">
        <f>IF('4.Procurement'!O20="","",'4.Procurement'!O20)</f>
        <v>0</v>
      </c>
      <c r="P57">
        <f>IF('4.Procurement'!P20="","",'4.Procurement'!P20)</f>
        <v>0</v>
      </c>
      <c r="Q57">
        <f>IF('4.Procurement'!Q20="","",'4.Procurement'!Q20)</f>
        <v>0</v>
      </c>
      <c r="R57">
        <f>IF('4.Procurement'!R20="","",'4.Procurement'!R20)</f>
        <v>0</v>
      </c>
      <c r="S57">
        <f>IF('4.Procurement'!S20="","",'4.Procurement'!S20)</f>
        <v>0</v>
      </c>
      <c r="T57">
        <f>IF('4.Procurement'!T20="","",'4.Procurement'!T20)</f>
        <v>0</v>
      </c>
    </row>
    <row r="58" spans="1:20">
      <c r="A58" t="str">
        <f>IF('4.Procurement'!A20= "","",'4.Procurement'!A20)</f>
        <v/>
      </c>
      <c r="B58" t="str">
        <f>IF('4.Procurement'!B20= "","",'4.Procurement'!B20)</f>
        <v/>
      </c>
      <c r="C58" t="str">
        <f>IF('4.Procurement'!C20= "","",'4.Procurement'!C20)</f>
        <v/>
      </c>
      <c r="D58" t="str">
        <f>IF('4.Procurement'!D20= "","",'4.Procurement'!D20)</f>
        <v/>
      </c>
      <c r="E58" t="str">
        <f>IF('4.Procurement'!E20= "","",'4.Procurement'!E20)</f>
        <v/>
      </c>
      <c r="F58" t="str">
        <f>IF('4.Procurement'!F20= "","",'4.Procurement'!F20)</f>
        <v/>
      </c>
      <c r="G58" t="str">
        <f>IF('4.Procurement'!G20= "","",'4.Procurement'!G20)</f>
        <v/>
      </c>
      <c r="H58" t="str">
        <f>IF('4.Procurement'!H21="","",'4.Procurement'!H21)</f>
        <v>Actual</v>
      </c>
      <c r="I58" t="str">
        <f>IF('4.Procurement'!I21="","",'4.Procurement'!I21)</f>
        <v/>
      </c>
      <c r="J58" t="str">
        <f>IF('4.Procurement'!J21="","",'4.Procurement'!J21)</f>
        <v/>
      </c>
      <c r="K58" t="str">
        <f>IF('4.Procurement'!K21="","",'4.Procurement'!K21)</f>
        <v/>
      </c>
      <c r="L58" t="str">
        <f>IF('4.Procurement'!L21="","",'4.Procurement'!L21)</f>
        <v/>
      </c>
      <c r="M58" t="str">
        <f>IF('4.Procurement'!M21="","",'4.Procurement'!M21)</f>
        <v/>
      </c>
      <c r="N58" t="str">
        <f>IF('4.Procurement'!N21="","",'4.Procurement'!N21)</f>
        <v/>
      </c>
      <c r="O58" t="str">
        <f>IF('4.Procurement'!O21="","",'4.Procurement'!O21)</f>
        <v/>
      </c>
      <c r="P58" t="str">
        <f>IF('4.Procurement'!P21="","",'4.Procurement'!P21)</f>
        <v/>
      </c>
      <c r="Q58" t="str">
        <f>IF('4.Procurement'!Q21="","",'4.Procurement'!Q21)</f>
        <v/>
      </c>
      <c r="R58" t="str">
        <f>IF('4.Procurement'!R21="","",'4.Procurement'!R21)</f>
        <v/>
      </c>
      <c r="S58" t="str">
        <f>IF('4.Procurement'!S21="","",'4.Procurement'!S21)</f>
        <v/>
      </c>
      <c r="T58" t="str">
        <f>IF('4.Procurement'!T21="","",'4.Procurement'!T21)</f>
        <v/>
      </c>
    </row>
    <row r="60" spans="1:20">
      <c r="A60" s="13" t="s">
        <v>79</v>
      </c>
    </row>
    <row r="61" spans="1:20">
      <c r="A61" t="s">
        <v>58</v>
      </c>
      <c r="B61" t="s">
        <v>59</v>
      </c>
      <c r="C61" t="s">
        <v>5</v>
      </c>
      <c r="D61" t="s">
        <v>60</v>
      </c>
      <c r="E61" t="s">
        <v>7</v>
      </c>
      <c r="F61" t="s">
        <v>61</v>
      </c>
      <c r="G61" t="s">
        <v>9</v>
      </c>
      <c r="H61" t="s">
        <v>62</v>
      </c>
      <c r="I61" s="261" t="s">
        <v>63</v>
      </c>
      <c r="J61" s="261" t="s">
        <v>64</v>
      </c>
      <c r="K61" s="261" t="s">
        <v>65</v>
      </c>
      <c r="L61" s="261" t="s">
        <v>66</v>
      </c>
      <c r="M61" s="261" t="s">
        <v>67</v>
      </c>
      <c r="N61" s="261" t="s">
        <v>68</v>
      </c>
      <c r="O61" s="261" t="s">
        <v>69</v>
      </c>
      <c r="P61" s="261" t="s">
        <v>70</v>
      </c>
      <c r="Q61" s="261" t="s">
        <v>71</v>
      </c>
      <c r="R61" s="261" t="s">
        <v>72</v>
      </c>
      <c r="S61" s="261" t="s">
        <v>73</v>
      </c>
      <c r="T61" s="262" t="s">
        <v>74</v>
      </c>
    </row>
    <row r="62" spans="1:20">
      <c r="A62" t="str">
        <f>'5.R&amp;D '!A14</f>
        <v>NPI  -Design Maturity Index (%)</v>
      </c>
      <c r="B62" t="str">
        <f>'5.R&amp;D '!B14</f>
        <v xml:space="preserve">% of design Completion with zero major Quality Issues
1) Design Maturity 
2) Integration Quality / Forecast - PLC till SVAL
3) Risk Technical  - PLC till SVAL </v>
      </c>
      <c r="C62" t="str">
        <f>'5.R&amp;D '!C14</f>
        <v>&gt;=</v>
      </c>
      <c r="D62">
        <f>'5.R&amp;D '!D14</f>
        <v>100</v>
      </c>
      <c r="E62" t="str">
        <f>'5.R&amp;D '!E14</f>
        <v>%</v>
      </c>
      <c r="F62" t="str">
        <f>'5.R&amp;D '!F14</f>
        <v>Higher the better</v>
      </c>
      <c r="G62" t="str">
        <f>'5.R&amp;D '!G14</f>
        <v>Monthly</v>
      </c>
      <c r="H62" t="str">
        <f>IF('5.R&amp;D '!H14="","",'5.R&amp;D '!H14)</f>
        <v>Target</v>
      </c>
      <c r="I62">
        <f>IF('5.R&amp;D '!I14="","",'5.R&amp;D '!I14)</f>
        <v>60</v>
      </c>
      <c r="J62">
        <f>IF('5.R&amp;D '!J14="","",'5.R&amp;D '!J14)</f>
        <v>65</v>
      </c>
      <c r="K62">
        <f>IF('5.R&amp;D '!K14="","",'5.R&amp;D '!K14)</f>
        <v>68</v>
      </c>
      <c r="L62">
        <f>IF('5.R&amp;D '!L14="","",'5.R&amp;D '!L14)</f>
        <v>70</v>
      </c>
      <c r="M62">
        <f>IF('5.R&amp;D '!M14="","",'5.R&amp;D '!M14)</f>
        <v>72</v>
      </c>
      <c r="N62">
        <f>IF('5.R&amp;D '!N14="","",'5.R&amp;D '!N14)</f>
        <v>75</v>
      </c>
      <c r="O62">
        <f>IF('5.R&amp;D '!O14="","",'5.R&amp;D '!O14)</f>
        <v>75</v>
      </c>
      <c r="P62">
        <f>IF('5.R&amp;D '!P14="","",'5.R&amp;D '!P14)</f>
        <v>75</v>
      </c>
      <c r="Q62">
        <f>IF('5.R&amp;D '!Q14="","",'5.R&amp;D '!Q14)</f>
        <v>80</v>
      </c>
      <c r="R62">
        <f>IF('5.R&amp;D '!R14="","",'5.R&amp;D '!R14)</f>
        <v>85</v>
      </c>
      <c r="S62">
        <f>IF('5.R&amp;D '!S14="","",'5.R&amp;D '!S14)</f>
        <v>90</v>
      </c>
      <c r="T62">
        <f>IF('5.R&amp;D '!T14="","",'5.R&amp;D '!T14)</f>
        <v>100</v>
      </c>
    </row>
    <row r="63" spans="1:20">
      <c r="A63" t="str">
        <f>'5.R&amp;D '!A14</f>
        <v>NPI  -Design Maturity Index (%)</v>
      </c>
      <c r="B63" t="str">
        <f>'5.R&amp;D '!B14</f>
        <v xml:space="preserve">% of design Completion with zero major Quality Issues
1) Design Maturity 
2) Integration Quality / Forecast - PLC till SVAL
3) Risk Technical  - PLC till SVAL </v>
      </c>
      <c r="C63" t="str">
        <f>'5.R&amp;D '!C14</f>
        <v>&gt;=</v>
      </c>
      <c r="D63">
        <f>'5.R&amp;D '!D14</f>
        <v>100</v>
      </c>
      <c r="E63" t="str">
        <f>'5.R&amp;D '!E14</f>
        <v>%</v>
      </c>
      <c r="F63" t="str">
        <f>'5.R&amp;D '!F14</f>
        <v>Higher the better</v>
      </c>
      <c r="G63" t="str">
        <f>'5.R&amp;D '!G14</f>
        <v>Monthly</v>
      </c>
      <c r="H63" t="str">
        <f>IF('5.R&amp;D '!H15="","",'5.R&amp;D '!H15)</f>
        <v>Actual</v>
      </c>
      <c r="I63">
        <f>IF('5.R&amp;D '!I15="","",'5.R&amp;D '!I15)</f>
        <v>54</v>
      </c>
      <c r="J63">
        <f>IF('5.R&amp;D '!J15="","",'5.R&amp;D '!J15)</f>
        <v>58</v>
      </c>
      <c r="K63">
        <f>IF('5.R&amp;D '!K15="","",'5.R&amp;D '!K15)</f>
        <v>64</v>
      </c>
      <c r="L63">
        <f>IF('5.R&amp;D '!L15="","",'5.R&amp;D '!L15)</f>
        <v>68</v>
      </c>
      <c r="M63">
        <f>IF('5.R&amp;D '!M15="","",'5.R&amp;D '!M15)</f>
        <v>68</v>
      </c>
      <c r="N63">
        <f>IF('5.R&amp;D '!N15="","",'5.R&amp;D '!N15)</f>
        <v>73</v>
      </c>
      <c r="O63">
        <f>IF('5.R&amp;D '!O15="","",'5.R&amp;D '!O15)</f>
        <v>75</v>
      </c>
      <c r="P63">
        <f>IF('5.R&amp;D '!P15="","",'5.R&amp;D '!P15)</f>
        <v>75</v>
      </c>
      <c r="Q63" t="str">
        <f>IF('5.R&amp;D '!Q15="","",'5.R&amp;D '!Q15)</f>
        <v/>
      </c>
      <c r="R63" t="str">
        <f>IF('5.R&amp;D '!R15="","",'5.R&amp;D '!R15)</f>
        <v/>
      </c>
      <c r="S63" t="str">
        <f>IF('5.R&amp;D '!S15="","",'5.R&amp;D '!S15)</f>
        <v/>
      </c>
      <c r="T63" t="str">
        <f>IF('5.R&amp;D '!T15="","",'5.R&amp;D '!T15)</f>
        <v/>
      </c>
    </row>
    <row r="64" spans="1:20">
      <c r="A64" t="str">
        <f>'5.R&amp;D '!A16</f>
        <v>NPI Dhruv - Say-Do Ratio (%)</v>
      </c>
      <c r="B64" t="str">
        <f>'5.R&amp;D '!B16</f>
        <v xml:space="preserve">% Monthly Planned Deliverables vs Actual
(LOD Checkist  - burndown)
PLC-161 ; SVER-  ; SVAL- ; RFD </v>
      </c>
      <c r="C64" t="str">
        <f>'5.R&amp;D '!C16</f>
        <v>&gt;=</v>
      </c>
      <c r="D64">
        <f>'5.R&amp;D '!D16</f>
        <v>90</v>
      </c>
      <c r="E64" t="str">
        <f>'5.R&amp;D '!E16</f>
        <v>%</v>
      </c>
      <c r="F64" t="str">
        <f>'5.R&amp;D '!F16</f>
        <v>Higher the better</v>
      </c>
      <c r="G64" t="str">
        <f>'5.R&amp;D '!G16</f>
        <v>Monthly</v>
      </c>
      <c r="H64" t="str">
        <f>IF('5.R&amp;D '!H16="","",'5.R&amp;D '!H16)</f>
        <v>Target</v>
      </c>
      <c r="I64">
        <f>IF('5.R&amp;D '!I16="","",'5.R&amp;D '!I16)</f>
        <v>95</v>
      </c>
      <c r="J64">
        <f>IF('5.R&amp;D '!J16="","",'5.R&amp;D '!J16)</f>
        <v>95</v>
      </c>
      <c r="K64">
        <f>IF('5.R&amp;D '!K16="","",'5.R&amp;D '!K16)</f>
        <v>95</v>
      </c>
      <c r="L64">
        <f>IF('5.R&amp;D '!L16="","",'5.R&amp;D '!L16)</f>
        <v>95</v>
      </c>
      <c r="M64">
        <f>IF('5.R&amp;D '!M16="","",'5.R&amp;D '!M16)</f>
        <v>95</v>
      </c>
      <c r="N64">
        <f>IF('5.R&amp;D '!N16="","",'5.R&amp;D '!N16)</f>
        <v>95</v>
      </c>
      <c r="O64">
        <f>IF('5.R&amp;D '!O16="","",'5.R&amp;D '!O16)</f>
        <v>95</v>
      </c>
      <c r="P64">
        <f>IF('5.R&amp;D '!P16="","",'5.R&amp;D '!P16)</f>
        <v>95</v>
      </c>
      <c r="Q64">
        <f>IF('5.R&amp;D '!Q16="","",'5.R&amp;D '!Q16)</f>
        <v>95</v>
      </c>
      <c r="R64">
        <f>IF('5.R&amp;D '!R16="","",'5.R&amp;D '!R16)</f>
        <v>95</v>
      </c>
      <c r="S64">
        <f>IF('5.R&amp;D '!S16="","",'5.R&amp;D '!S16)</f>
        <v>95</v>
      </c>
      <c r="T64">
        <f>IF('5.R&amp;D '!T16="","",'5.R&amp;D '!T16)</f>
        <v>95</v>
      </c>
    </row>
    <row r="65" spans="1:20">
      <c r="A65" t="str">
        <f>'5.R&amp;D '!A16</f>
        <v>NPI Dhruv - Say-Do Ratio (%)</v>
      </c>
      <c r="B65" t="str">
        <f>'5.R&amp;D '!B16</f>
        <v xml:space="preserve">% Monthly Planned Deliverables vs Actual
(LOD Checkist  - burndown)
PLC-161 ; SVER-  ; SVAL- ; RFD </v>
      </c>
      <c r="C65" t="str">
        <f>'5.R&amp;D '!C16</f>
        <v>&gt;=</v>
      </c>
      <c r="D65">
        <f>'5.R&amp;D '!D16</f>
        <v>90</v>
      </c>
      <c r="E65" t="str">
        <f>'5.R&amp;D '!E16</f>
        <v>%</v>
      </c>
      <c r="F65" t="str">
        <f>'5.R&amp;D '!F16</f>
        <v>Higher the better</v>
      </c>
      <c r="G65" t="str">
        <f>'5.R&amp;D '!G16</f>
        <v>Monthly</v>
      </c>
      <c r="H65" t="str">
        <f>IF('5.R&amp;D '!H17="","",'5.R&amp;D '!H17)</f>
        <v>Actual</v>
      </c>
      <c r="I65">
        <f>IF('5.R&amp;D '!I17="","",'5.R&amp;D '!I17)</f>
        <v>100</v>
      </c>
      <c r="J65">
        <f>IF('5.R&amp;D '!J17="","",'5.R&amp;D '!J17)</f>
        <v>90</v>
      </c>
      <c r="K65">
        <f>IF('5.R&amp;D '!K17="","",'5.R&amp;D '!K17)</f>
        <v>95</v>
      </c>
      <c r="L65">
        <f>IF('5.R&amp;D '!L17="","",'5.R&amp;D '!L17)</f>
        <v>93</v>
      </c>
      <c r="M65">
        <f>IF('5.R&amp;D '!M17="","",'5.R&amp;D '!M17)</f>
        <v>94</v>
      </c>
      <c r="N65">
        <f>IF('5.R&amp;D '!N17="","",'5.R&amp;D '!N17)</f>
        <v>90</v>
      </c>
      <c r="O65">
        <f>IF('5.R&amp;D '!O17="","",'5.R&amp;D '!O17)</f>
        <v>95</v>
      </c>
      <c r="P65">
        <f>IF('5.R&amp;D '!P17="","",'5.R&amp;D '!P17)</f>
        <v>95</v>
      </c>
      <c r="Q65" t="str">
        <f>IF('5.R&amp;D '!Q17="","",'5.R&amp;D '!Q17)</f>
        <v/>
      </c>
      <c r="R65" t="str">
        <f>IF('5.R&amp;D '!R17="","",'5.R&amp;D '!R17)</f>
        <v/>
      </c>
      <c r="S65" t="str">
        <f>IF('5.R&amp;D '!S17="","",'5.R&amp;D '!S17)</f>
        <v/>
      </c>
      <c r="T65" t="str">
        <f>IF('5.R&amp;D '!T17="","",'5.R&amp;D '!T17)</f>
        <v/>
      </c>
    </row>
    <row r="66" spans="1:20">
      <c r="A66" t="str">
        <f>'5.R&amp;D '!A18</f>
        <v>NPI -Supplier Readiness Completion (%)</v>
      </c>
      <c r="B66" t="str">
        <f>'5.R&amp;D '!B18</f>
        <v>% supplier deliverables completed and approved as per NPI plan up to PLC, SVAL milestones . 
( 130 Part/Assy ) 
(Sec 5 - DFM - SRPQP)- PSW Signoff) till PLC
( Sec 6 - PSW part Mfg)  - PSW Signoff Till Ser
(Sec 7 - IQ-PSW signoff)  - SVAL</v>
      </c>
      <c r="C66" t="str">
        <f>'5.R&amp;D '!C18</f>
        <v>&gt;=</v>
      </c>
      <c r="D66">
        <f>'5.R&amp;D '!D18</f>
        <v>95</v>
      </c>
      <c r="E66" t="str">
        <f>'5.R&amp;D '!E18</f>
        <v>%</v>
      </c>
      <c r="F66" t="str">
        <f>'5.R&amp;D '!F18</f>
        <v>Higher the better</v>
      </c>
      <c r="G66" t="str">
        <f>'5.R&amp;D '!G18</f>
        <v>Monthly</v>
      </c>
      <c r="H66" t="str">
        <f>IF('5.R&amp;D '!H18="","",'5.R&amp;D '!H18)</f>
        <v>Target</v>
      </c>
      <c r="I66">
        <f>IF('5.R&amp;D '!I18="","",'5.R&amp;D '!I18)</f>
        <v>10</v>
      </c>
      <c r="J66">
        <f>IF('5.R&amp;D '!J18="","",'5.R&amp;D '!J18)</f>
        <v>20</v>
      </c>
      <c r="K66">
        <f>IF('5.R&amp;D '!K18="","",'5.R&amp;D '!K18)</f>
        <v>40</v>
      </c>
      <c r="L66">
        <f>IF('5.R&amp;D '!L18="","",'5.R&amp;D '!L18)</f>
        <v>50</v>
      </c>
      <c r="M66">
        <f>IF('5.R&amp;D '!M18="","",'5.R&amp;D '!M18)</f>
        <v>68</v>
      </c>
      <c r="N66">
        <f>IF('5.R&amp;D '!N18="","",'5.R&amp;D '!N18)</f>
        <v>82</v>
      </c>
      <c r="O66">
        <f>IF('5.R&amp;D '!O18="","",'5.R&amp;D '!O18)</f>
        <v>82</v>
      </c>
      <c r="P66">
        <f>IF('5.R&amp;D '!P18="","",'5.R&amp;D '!P18)</f>
        <v>85</v>
      </c>
      <c r="Q66">
        <f>IF('5.R&amp;D '!Q18="","",'5.R&amp;D '!Q18)</f>
        <v>85</v>
      </c>
      <c r="R66" t="str">
        <f>IF('5.R&amp;D '!R18="","",'5.R&amp;D '!R18)</f>
        <v/>
      </c>
      <c r="S66" t="str">
        <f>IF('5.R&amp;D '!S18="","",'5.R&amp;D '!S18)</f>
        <v/>
      </c>
      <c r="T66" t="str">
        <f>IF('5.R&amp;D '!T18="","",'5.R&amp;D '!T18)</f>
        <v/>
      </c>
    </row>
    <row r="67" spans="1:20">
      <c r="A67" t="str">
        <f>'5.R&amp;D '!A18</f>
        <v>NPI -Supplier Readiness Completion (%)</v>
      </c>
      <c r="B67" t="str">
        <f>'5.R&amp;D '!B18</f>
        <v>% supplier deliverables completed and approved as per NPI plan up to PLC, SVAL milestones . 
( 130 Part/Assy ) 
(Sec 5 - DFM - SRPQP)- PSW Signoff) till PLC
( Sec 6 - PSW part Mfg)  - PSW Signoff Till Ser
(Sec 7 - IQ-PSW signoff)  - SVAL</v>
      </c>
      <c r="C67" t="str">
        <f>'5.R&amp;D '!C18</f>
        <v>&gt;=</v>
      </c>
      <c r="D67">
        <f>'5.R&amp;D '!D18</f>
        <v>95</v>
      </c>
      <c r="E67" t="str">
        <f>'5.R&amp;D '!E18</f>
        <v>%</v>
      </c>
      <c r="F67" t="str">
        <f>'5.R&amp;D '!F18</f>
        <v>Higher the better</v>
      </c>
      <c r="G67" t="str">
        <f>'5.R&amp;D '!G18</f>
        <v>Monthly</v>
      </c>
      <c r="H67" t="str">
        <f>IF('5.R&amp;D '!H19="","",'5.R&amp;D '!H19)</f>
        <v>Actual</v>
      </c>
      <c r="I67">
        <f>IF('5.R&amp;D '!I19="","",'5.R&amp;D '!I19)</f>
        <v>5</v>
      </c>
      <c r="J67">
        <f>IF('5.R&amp;D '!J19="","",'5.R&amp;D '!J19)</f>
        <v>6</v>
      </c>
      <c r="K67">
        <f>IF('5.R&amp;D '!K19="","",'5.R&amp;D '!K19)</f>
        <v>7</v>
      </c>
      <c r="L67">
        <f>IF('5.R&amp;D '!L19="","",'5.R&amp;D '!L19)</f>
        <v>18</v>
      </c>
      <c r="M67">
        <f>IF('5.R&amp;D '!M19="","",'5.R&amp;D '!M19)</f>
        <v>33</v>
      </c>
      <c r="N67">
        <f>IF('5.R&amp;D '!N19="","",'5.R&amp;D '!N19)</f>
        <v>64</v>
      </c>
      <c r="O67">
        <f>IF('5.R&amp;D '!O19="","",'5.R&amp;D '!O19)</f>
        <v>64</v>
      </c>
      <c r="P67">
        <f>IF('5.R&amp;D '!P19="","",'5.R&amp;D '!P19)</f>
        <v>68</v>
      </c>
      <c r="Q67" t="str">
        <f>IF('5.R&amp;D '!Q19="","",'5.R&amp;D '!Q19)</f>
        <v/>
      </c>
      <c r="R67" t="str">
        <f>IF('5.R&amp;D '!R19="","",'5.R&amp;D '!R19)</f>
        <v/>
      </c>
      <c r="S67" t="str">
        <f>IF('5.R&amp;D '!S19="","",'5.R&amp;D '!S19)</f>
        <v/>
      </c>
      <c r="T67" t="str">
        <f>IF('5.R&amp;D '!T19="","",'5.R&amp;D '!T19)</f>
        <v/>
      </c>
    </row>
    <row r="68" spans="1:20">
      <c r="A68" t="str">
        <f>'5.R&amp;D '!A26</f>
        <v>Critical &amp; MLD Milestone Delivery On-Time (%)</v>
      </c>
      <c r="B68" t="str">
        <f>'5.R&amp;D '!B26</f>
        <v>% of intermediate milestones achieved as per plan</v>
      </c>
      <c r="C68" t="str">
        <f>'5.R&amp;D '!C26</f>
        <v>&gt;=</v>
      </c>
      <c r="D68">
        <f>'5.R&amp;D '!D26</f>
        <v>80</v>
      </c>
      <c r="E68" t="str">
        <f>'5.R&amp;D '!E26</f>
        <v>%</v>
      </c>
      <c r="F68" t="str">
        <f>'5.R&amp;D '!F26</f>
        <v>Higher the better</v>
      </c>
      <c r="G68" t="str">
        <f>'5.R&amp;D '!G26</f>
        <v>Monthly</v>
      </c>
      <c r="H68" t="str">
        <f>IF('5.R&amp;D '!H26="","",'5.R&amp;D '!H26)</f>
        <v>Target</v>
      </c>
      <c r="I68">
        <f>IF('5.R&amp;D '!I26="","",'5.R&amp;D '!I26)</f>
        <v>80</v>
      </c>
      <c r="J68">
        <f>IF('5.R&amp;D '!J26="","",'5.R&amp;D '!J26)</f>
        <v>80</v>
      </c>
      <c r="K68">
        <f>IF('5.R&amp;D '!K26="","",'5.R&amp;D '!K26)</f>
        <v>80</v>
      </c>
      <c r="L68">
        <f>IF('5.R&amp;D '!L26="","",'5.R&amp;D '!L26)</f>
        <v>80</v>
      </c>
      <c r="M68">
        <f>IF('5.R&amp;D '!M26="","",'5.R&amp;D '!M26)</f>
        <v>80</v>
      </c>
      <c r="N68">
        <f>IF('5.R&amp;D '!N26="","",'5.R&amp;D '!N26)</f>
        <v>80</v>
      </c>
      <c r="O68">
        <f>IF('5.R&amp;D '!O26="","",'5.R&amp;D '!O26)</f>
        <v>80</v>
      </c>
      <c r="P68">
        <f>IF('5.R&amp;D '!P26="","",'5.R&amp;D '!P26)</f>
        <v>80</v>
      </c>
      <c r="Q68">
        <f>IF('5.R&amp;D '!Q26="","",'5.R&amp;D '!Q26)</f>
        <v>80</v>
      </c>
      <c r="R68">
        <f>IF('5.R&amp;D '!R26="","",'5.R&amp;D '!R26)</f>
        <v>80</v>
      </c>
      <c r="S68">
        <f>IF('5.R&amp;D '!S26="","",'5.R&amp;D '!S26)</f>
        <v>80</v>
      </c>
      <c r="T68">
        <f>IF('5.R&amp;D '!T26="","",'5.R&amp;D '!T26)</f>
        <v>80</v>
      </c>
    </row>
    <row r="69" spans="1:20">
      <c r="A69" t="str">
        <f>'5.R&amp;D '!A26</f>
        <v>Critical &amp; MLD Milestone Delivery On-Time (%)</v>
      </c>
      <c r="B69" t="str">
        <f>'5.R&amp;D '!B26</f>
        <v>% of intermediate milestones achieved as per plan</v>
      </c>
      <c r="C69" t="str">
        <f>'5.R&amp;D '!C26</f>
        <v>&gt;=</v>
      </c>
      <c r="D69">
        <f>'5.R&amp;D '!D26</f>
        <v>80</v>
      </c>
      <c r="E69" t="str">
        <f>'5.R&amp;D '!E26</f>
        <v>%</v>
      </c>
      <c r="F69" t="str">
        <f>'5.R&amp;D '!F26</f>
        <v>Higher the better</v>
      </c>
      <c r="G69" t="str">
        <f>'5.R&amp;D '!G26</f>
        <v>Monthly</v>
      </c>
      <c r="H69" t="str">
        <f>IF('5.R&amp;D '!H27="","",'5.R&amp;D '!H27)</f>
        <v>Actual</v>
      </c>
      <c r="I69">
        <f>IF('5.R&amp;D '!I27="","",'5.R&amp;D '!I27)</f>
        <v>86</v>
      </c>
      <c r="J69">
        <f>IF('5.R&amp;D '!J27="","",'5.R&amp;D '!J27)</f>
        <v>88</v>
      </c>
      <c r="K69">
        <f>IF('5.R&amp;D '!K27="","",'5.R&amp;D '!K27)</f>
        <v>100</v>
      </c>
      <c r="L69">
        <f>IF('5.R&amp;D '!L27="","",'5.R&amp;D '!L27)</f>
        <v>100</v>
      </c>
      <c r="M69">
        <f>IF('5.R&amp;D '!M27="","",'5.R&amp;D '!M27)</f>
        <v>87.5</v>
      </c>
      <c r="N69">
        <f>IF('5.R&amp;D '!N27="","",'5.R&amp;D '!N27)</f>
        <v>100</v>
      </c>
      <c r="O69">
        <f>IF('5.R&amp;D '!O27="","",'5.R&amp;D '!O27)</f>
        <v>100</v>
      </c>
      <c r="P69" t="str">
        <f>IF('5.R&amp;D '!P27="","",'5.R&amp;D '!P27)</f>
        <v/>
      </c>
      <c r="Q69" t="str">
        <f>IF('5.R&amp;D '!Q27="","",'5.R&amp;D '!Q27)</f>
        <v/>
      </c>
      <c r="R69" t="str">
        <f>IF('5.R&amp;D '!R27="","",'5.R&amp;D '!R27)</f>
        <v/>
      </c>
      <c r="S69" t="str">
        <f>IF('5.R&amp;D '!S27="","",'5.R&amp;D '!S27)</f>
        <v/>
      </c>
      <c r="T69" t="str">
        <f>IF('5.R&amp;D '!T27="","",'5.R&amp;D '!T27)</f>
        <v/>
      </c>
    </row>
    <row r="71" spans="1:20">
      <c r="A71" s="13" t="s">
        <v>80</v>
      </c>
    </row>
    <row r="72" spans="1:20">
      <c r="A72" t="s">
        <v>58</v>
      </c>
      <c r="B72" t="s">
        <v>59</v>
      </c>
      <c r="C72" t="s">
        <v>5</v>
      </c>
      <c r="D72" t="s">
        <v>60</v>
      </c>
      <c r="E72" t="s">
        <v>7</v>
      </c>
      <c r="F72" t="s">
        <v>61</v>
      </c>
      <c r="G72" t="s">
        <v>9</v>
      </c>
      <c r="H72" t="s">
        <v>62</v>
      </c>
      <c r="I72" s="261" t="s">
        <v>63</v>
      </c>
      <c r="J72" s="261" t="s">
        <v>64</v>
      </c>
      <c r="K72" s="261" t="s">
        <v>65</v>
      </c>
      <c r="L72" s="261" t="s">
        <v>66</v>
      </c>
      <c r="M72" s="261" t="s">
        <v>67</v>
      </c>
      <c r="N72" s="261" t="s">
        <v>68</v>
      </c>
      <c r="O72" s="261" t="s">
        <v>69</v>
      </c>
      <c r="P72" s="261" t="s">
        <v>70</v>
      </c>
      <c r="Q72" s="261" t="s">
        <v>71</v>
      </c>
      <c r="R72" s="261" t="s">
        <v>72</v>
      </c>
      <c r="S72" s="261" t="s">
        <v>73</v>
      </c>
      <c r="T72" s="262" t="s">
        <v>74</v>
      </c>
    </row>
    <row r="73" spans="1:20">
      <c r="A73" t="e">
        <f>#REF!</f>
        <v>#REF!</v>
      </c>
      <c r="B73" t="e">
        <f>#REF!</f>
        <v>#REF!</v>
      </c>
      <c r="C73" t="e">
        <f>#REF!</f>
        <v>#REF!</v>
      </c>
      <c r="D73" t="e">
        <f>#REF!</f>
        <v>#REF!</v>
      </c>
      <c r="E73" t="e">
        <f>#REF!</f>
        <v>#REF!</v>
      </c>
      <c r="F73" t="e">
        <f>#REF!</f>
        <v>#REF!</v>
      </c>
      <c r="G73" t="e">
        <f>#REF!</f>
        <v>#REF!</v>
      </c>
      <c r="H73" t="e">
        <f>IF(#REF!="","",#REF!)</f>
        <v>#REF!</v>
      </c>
      <c r="I73" s="265" t="e">
        <f>IF(#REF!="","",#REF!)</f>
        <v>#REF!</v>
      </c>
      <c r="J73" s="265" t="e">
        <f>IF(#REF!="","",#REF!)</f>
        <v>#REF!</v>
      </c>
      <c r="K73" s="265" t="e">
        <f>IF(#REF!="","",#REF!)</f>
        <v>#REF!</v>
      </c>
      <c r="L73" s="265" t="e">
        <f>IF(#REF!="","",#REF!)</f>
        <v>#REF!</v>
      </c>
      <c r="M73" s="265" t="e">
        <f>IF(#REF!="","",#REF!)</f>
        <v>#REF!</v>
      </c>
      <c r="N73" s="265" t="e">
        <f>IF(#REF!="","",#REF!)</f>
        <v>#REF!</v>
      </c>
      <c r="O73" s="265" t="e">
        <f>IF(#REF!="","",#REF!)</f>
        <v>#REF!</v>
      </c>
      <c r="P73" s="265" t="e">
        <f>IF(#REF!="","",#REF!)</f>
        <v>#REF!</v>
      </c>
      <c r="Q73" s="265" t="e">
        <f>IF(#REF!="","",#REF!)</f>
        <v>#REF!</v>
      </c>
      <c r="R73" s="265" t="e">
        <f>IF(#REF!="","",#REF!)</f>
        <v>#REF!</v>
      </c>
      <c r="S73" s="265" t="e">
        <f>IF(#REF!="","",#REF!)</f>
        <v>#REF!</v>
      </c>
      <c r="T73" s="265" t="e">
        <f>IF(#REF!="","",#REF!)</f>
        <v>#REF!</v>
      </c>
    </row>
    <row r="74" spans="1:20">
      <c r="A74" t="e">
        <f>#REF!</f>
        <v>#REF!</v>
      </c>
      <c r="B74" t="e">
        <f>#REF!</f>
        <v>#REF!</v>
      </c>
      <c r="C74" t="e">
        <f>#REF!</f>
        <v>#REF!</v>
      </c>
      <c r="D74" t="e">
        <f>#REF!</f>
        <v>#REF!</v>
      </c>
      <c r="E74" t="e">
        <f>#REF!</f>
        <v>#REF!</v>
      </c>
      <c r="F74" t="e">
        <f>#REF!</f>
        <v>#REF!</v>
      </c>
      <c r="G74" t="e">
        <f>#REF!</f>
        <v>#REF!</v>
      </c>
      <c r="H74" t="e">
        <f>IF(#REF!="","",#REF!)</f>
        <v>#REF!</v>
      </c>
      <c r="I74" s="265" t="e">
        <f>IF(#REF!="","",#REF!)</f>
        <v>#REF!</v>
      </c>
      <c r="J74" s="265" t="e">
        <f>IF(#REF!="","",#REF!)</f>
        <v>#REF!</v>
      </c>
      <c r="K74" s="265" t="e">
        <f>IF(#REF!="","",#REF!)</f>
        <v>#REF!</v>
      </c>
      <c r="L74" s="265" t="e">
        <f>IF(#REF!="","",#REF!)</f>
        <v>#REF!</v>
      </c>
      <c r="M74" s="265" t="e">
        <f>IF(#REF!="","",#REF!)</f>
        <v>#REF!</v>
      </c>
      <c r="N74" s="265" t="e">
        <f>IF(#REF!="","",#REF!)</f>
        <v>#REF!</v>
      </c>
      <c r="O74" s="265" t="e">
        <f>IF(#REF!="","",#REF!)</f>
        <v>#REF!</v>
      </c>
      <c r="P74" s="265" t="e">
        <f>IF(#REF!="","",#REF!)</f>
        <v>#REF!</v>
      </c>
      <c r="Q74" s="265" t="e">
        <f>IF(#REF!="","",#REF!)</f>
        <v>#REF!</v>
      </c>
      <c r="R74" s="265" t="e">
        <f>IF(#REF!="","",#REF!)</f>
        <v>#REF!</v>
      </c>
      <c r="S74" s="265" t="e">
        <f>IF(#REF!="","",#REF!)</f>
        <v>#REF!</v>
      </c>
      <c r="T74" s="265" t="e">
        <f>IF(#REF!="","",#REF!)</f>
        <v>#REF!</v>
      </c>
    </row>
    <row r="75" spans="1:20">
      <c r="A75" t="e">
        <f>#REF!</f>
        <v>#REF!</v>
      </c>
      <c r="B75" t="e">
        <f>#REF!</f>
        <v>#REF!</v>
      </c>
      <c r="C75" t="e">
        <f>#REF!</f>
        <v>#REF!</v>
      </c>
      <c r="D75" t="e">
        <f>#REF!</f>
        <v>#REF!</v>
      </c>
      <c r="E75" t="e">
        <f>#REF!</f>
        <v>#REF!</v>
      </c>
      <c r="F75" t="e">
        <f>#REF!</f>
        <v>#REF!</v>
      </c>
      <c r="G75" t="e">
        <f>#REF!</f>
        <v>#REF!</v>
      </c>
      <c r="H75" t="e">
        <f>IF(#REF!="","",#REF!)</f>
        <v>#REF!</v>
      </c>
      <c r="I75" t="e">
        <f>IF(#REF!="","",#REF!)</f>
        <v>#REF!</v>
      </c>
      <c r="J75" t="e">
        <f>IF(#REF!="","",#REF!)</f>
        <v>#REF!</v>
      </c>
      <c r="K75" t="e">
        <f>IF(#REF!="","",#REF!)</f>
        <v>#REF!</v>
      </c>
      <c r="L75" t="e">
        <f>IF(#REF!="","",#REF!)</f>
        <v>#REF!</v>
      </c>
      <c r="M75" t="e">
        <f>IF(#REF!="","",#REF!)</f>
        <v>#REF!</v>
      </c>
      <c r="N75" t="e">
        <f>IF(#REF!="","",#REF!)</f>
        <v>#REF!</v>
      </c>
      <c r="O75" t="e">
        <f>IF(#REF!="","",#REF!)</f>
        <v>#REF!</v>
      </c>
      <c r="P75" t="e">
        <f>IF(#REF!="","",#REF!)</f>
        <v>#REF!</v>
      </c>
      <c r="Q75" t="e">
        <f>IF(#REF!="","",#REF!)</f>
        <v>#REF!</v>
      </c>
      <c r="R75" t="e">
        <f>IF(#REF!="","",#REF!)</f>
        <v>#REF!</v>
      </c>
      <c r="S75" t="e">
        <f>IF(#REF!="","",#REF!)</f>
        <v>#REF!</v>
      </c>
      <c r="T75" t="e">
        <f>IF(#REF!="","",#REF!)</f>
        <v>#REF!</v>
      </c>
    </row>
    <row r="76" spans="1:20">
      <c r="A76" t="e">
        <f>#REF!</f>
        <v>#REF!</v>
      </c>
      <c r="B76" t="e">
        <f>#REF!</f>
        <v>#REF!</v>
      </c>
      <c r="C76" t="e">
        <f>#REF!</f>
        <v>#REF!</v>
      </c>
      <c r="D76" t="e">
        <f>#REF!</f>
        <v>#REF!</v>
      </c>
      <c r="E76" t="e">
        <f>#REF!</f>
        <v>#REF!</v>
      </c>
      <c r="F76" t="e">
        <f>#REF!</f>
        <v>#REF!</v>
      </c>
      <c r="G76" t="e">
        <f>#REF!</f>
        <v>#REF!</v>
      </c>
      <c r="H76" t="e">
        <f>IF(#REF!="","",#REF!)</f>
        <v>#REF!</v>
      </c>
      <c r="I76" t="e">
        <f>IF(#REF!="","",#REF!)</f>
        <v>#REF!</v>
      </c>
      <c r="J76" t="e">
        <f>IF(#REF!="","",#REF!)</f>
        <v>#REF!</v>
      </c>
      <c r="K76" t="e">
        <f>IF(#REF!="","",#REF!)</f>
        <v>#REF!</v>
      </c>
      <c r="L76" t="e">
        <f>IF(#REF!="","",#REF!)</f>
        <v>#REF!</v>
      </c>
      <c r="M76" t="e">
        <f>IF(#REF!="","",#REF!)</f>
        <v>#REF!</v>
      </c>
      <c r="N76" t="e">
        <f>IF(#REF!="","",#REF!)</f>
        <v>#REF!</v>
      </c>
      <c r="O76" t="e">
        <f>IF(#REF!="","",#REF!)</f>
        <v>#REF!</v>
      </c>
      <c r="P76" t="e">
        <f>IF(#REF!="","",#REF!)</f>
        <v>#REF!</v>
      </c>
      <c r="Q76" t="e">
        <f>IF(#REF!="","",#REF!)</f>
        <v>#REF!</v>
      </c>
      <c r="R76" t="e">
        <f>IF(#REF!="","",#REF!)</f>
        <v>#REF!</v>
      </c>
      <c r="S76" t="e">
        <f>IF(#REF!="","",#REF!)</f>
        <v>#REF!</v>
      </c>
      <c r="T76" t="e">
        <f>IF(#REF!="","",#REF!)</f>
        <v>#REF!</v>
      </c>
    </row>
    <row r="77" spans="1:20">
      <c r="A77" t="e">
        <f>#REF!</f>
        <v>#REF!</v>
      </c>
      <c r="B77" t="e">
        <f>#REF!</f>
        <v>#REF!</v>
      </c>
      <c r="C77" t="e">
        <f>#REF!</f>
        <v>#REF!</v>
      </c>
      <c r="D77" t="e">
        <f>#REF!</f>
        <v>#REF!</v>
      </c>
      <c r="E77" t="e">
        <f>#REF!</f>
        <v>#REF!</v>
      </c>
      <c r="F77" t="e">
        <f>#REF!</f>
        <v>#REF!</v>
      </c>
      <c r="G77" t="e">
        <f>#REF!</f>
        <v>#REF!</v>
      </c>
      <c r="H77" t="e">
        <f>IF(#REF!="","",#REF!)</f>
        <v>#REF!</v>
      </c>
      <c r="I77" t="e">
        <f>IF(#REF!="","",#REF!)</f>
        <v>#REF!</v>
      </c>
      <c r="J77" t="e">
        <f>IF(#REF!="","",#REF!)</f>
        <v>#REF!</v>
      </c>
      <c r="K77" t="e">
        <f>IF(#REF!="","",#REF!)</f>
        <v>#REF!</v>
      </c>
      <c r="L77" t="e">
        <f>IF(#REF!="","",#REF!)</f>
        <v>#REF!</v>
      </c>
      <c r="M77" t="e">
        <f>IF(#REF!="","",#REF!)</f>
        <v>#REF!</v>
      </c>
      <c r="N77" t="e">
        <f>IF(#REF!="","",#REF!)</f>
        <v>#REF!</v>
      </c>
      <c r="O77" t="e">
        <f>IF(#REF!="","",#REF!)</f>
        <v>#REF!</v>
      </c>
      <c r="P77" t="e">
        <f>IF(#REF!="","",#REF!)</f>
        <v>#REF!</v>
      </c>
      <c r="Q77" t="e">
        <f>IF(#REF!="","",#REF!)</f>
        <v>#REF!</v>
      </c>
      <c r="R77" t="e">
        <f>IF(#REF!="","",#REF!)</f>
        <v>#REF!</v>
      </c>
      <c r="S77" t="e">
        <f>IF(#REF!="","",#REF!)</f>
        <v>#REF!</v>
      </c>
      <c r="T77" t="e">
        <f>IF(#REF!="","",#REF!)</f>
        <v>#REF!</v>
      </c>
    </row>
    <row r="78" spans="1:20">
      <c r="A78" t="e">
        <f>#REF!</f>
        <v>#REF!</v>
      </c>
      <c r="B78" t="e">
        <f>#REF!</f>
        <v>#REF!</v>
      </c>
      <c r="C78" t="e">
        <f>#REF!</f>
        <v>#REF!</v>
      </c>
      <c r="D78" t="e">
        <f>#REF!</f>
        <v>#REF!</v>
      </c>
      <c r="E78" t="e">
        <f>#REF!</f>
        <v>#REF!</v>
      </c>
      <c r="F78" t="e">
        <f>#REF!</f>
        <v>#REF!</v>
      </c>
      <c r="G78" t="e">
        <f>#REF!</f>
        <v>#REF!</v>
      </c>
      <c r="H78" t="e">
        <f>IF(#REF!="","",#REF!)</f>
        <v>#REF!</v>
      </c>
      <c r="I78" t="e">
        <f>IF(#REF!="","",#REF!)</f>
        <v>#REF!</v>
      </c>
      <c r="J78" t="e">
        <f>IF(#REF!="","",#REF!)</f>
        <v>#REF!</v>
      </c>
      <c r="K78" t="e">
        <f>IF(#REF!="","",#REF!)</f>
        <v>#REF!</v>
      </c>
      <c r="L78" t="e">
        <f>IF(#REF!="","",#REF!)</f>
        <v>#REF!</v>
      </c>
      <c r="M78" t="e">
        <f>IF(#REF!="","",#REF!)</f>
        <v>#REF!</v>
      </c>
      <c r="N78" t="e">
        <f>IF(#REF!="","",#REF!)</f>
        <v>#REF!</v>
      </c>
      <c r="O78" t="e">
        <f>IF(#REF!="","",#REF!)</f>
        <v>#REF!</v>
      </c>
      <c r="P78" t="e">
        <f>IF(#REF!="","",#REF!)</f>
        <v>#REF!</v>
      </c>
      <c r="Q78" t="e">
        <f>IF(#REF!="","",#REF!)</f>
        <v>#REF!</v>
      </c>
      <c r="R78" t="e">
        <f>IF(#REF!="","",#REF!)</f>
        <v>#REF!</v>
      </c>
      <c r="S78" t="e">
        <f>IF(#REF!="","",#REF!)</f>
        <v>#REF!</v>
      </c>
      <c r="T78" t="e">
        <f>IF(#REF!="","",#REF!)</f>
        <v>#REF!</v>
      </c>
    </row>
    <row r="80" spans="1:20">
      <c r="A80" s="13" t="s">
        <v>81</v>
      </c>
    </row>
    <row r="81" spans="1:20">
      <c r="A81" t="s">
        <v>58</v>
      </c>
      <c r="B81" t="s">
        <v>59</v>
      </c>
      <c r="C81" t="s">
        <v>5</v>
      </c>
      <c r="D81" t="s">
        <v>60</v>
      </c>
      <c r="E81" t="s">
        <v>7</v>
      </c>
      <c r="F81" t="s">
        <v>61</v>
      </c>
      <c r="G81" t="s">
        <v>9</v>
      </c>
      <c r="H81" t="s">
        <v>62</v>
      </c>
      <c r="I81" s="261" t="s">
        <v>63</v>
      </c>
      <c r="J81" s="261" t="s">
        <v>64</v>
      </c>
      <c r="K81" s="261" t="s">
        <v>65</v>
      </c>
      <c r="L81" s="261" t="s">
        <v>66</v>
      </c>
      <c r="M81" s="261" t="s">
        <v>67</v>
      </c>
      <c r="N81" s="261" t="s">
        <v>68</v>
      </c>
      <c r="O81" s="261" t="s">
        <v>69</v>
      </c>
      <c r="P81" s="261" t="s">
        <v>70</v>
      </c>
      <c r="Q81" s="261" t="s">
        <v>71</v>
      </c>
      <c r="R81" s="261" t="s">
        <v>72</v>
      </c>
      <c r="S81" s="261" t="s">
        <v>73</v>
      </c>
      <c r="T81" s="262" t="s">
        <v>74</v>
      </c>
    </row>
    <row r="82" spans="1:20">
      <c r="A82" t="str">
        <f>'7.Customer Service'!A14</f>
        <v>CP %</v>
      </c>
      <c r="B82" t="str">
        <f>'7.Customer Service'!B14</f>
        <v>Contract penetration Exc EOL/EOS System</v>
      </c>
      <c r="C82" t="str">
        <f>'7.Customer Service'!C14</f>
        <v>&gt;=</v>
      </c>
      <c r="D82">
        <f>'7.Customer Service'!D14</f>
        <v>54.9</v>
      </c>
      <c r="E82" t="str">
        <f>'7.Customer Service'!E14</f>
        <v>%</v>
      </c>
      <c r="F82" t="str">
        <f>'7.Customer Service'!F14</f>
        <v>Higher the better</v>
      </c>
      <c r="G82" t="str">
        <f>'7.Customer Service'!G14</f>
        <v>Monthly</v>
      </c>
      <c r="H82" t="str">
        <f>IF('7.Customer Service'!H14="","",'7.Customer Service'!H14)</f>
        <v>Target</v>
      </c>
      <c r="I82" s="266">
        <f>IF('7.Customer Service'!I14="","",'7.Customer Service'!I14)</f>
        <v>0.53600000000000003</v>
      </c>
      <c r="J82" s="266">
        <f>IF('7.Customer Service'!J14="","",'7.Customer Service'!J14)</f>
        <v>0.53900000000000003</v>
      </c>
      <c r="K82" s="266">
        <f>IF('7.Customer Service'!K14="","",'7.Customer Service'!K14)</f>
        <v>0.54100000000000004</v>
      </c>
      <c r="L82" s="266">
        <f>IF('7.Customer Service'!L14="","",'7.Customer Service'!L14)</f>
        <v>0.54100000000000004</v>
      </c>
      <c r="M82" s="266">
        <f>IF('7.Customer Service'!M14="","",'7.Customer Service'!M14)</f>
        <v>0.54300000000000004</v>
      </c>
      <c r="N82" s="266">
        <f>IF('7.Customer Service'!N14="","",'7.Customer Service'!N14)</f>
        <v>0.54400000000000004</v>
      </c>
      <c r="O82" s="266">
        <f>IF('7.Customer Service'!O14="","",'7.Customer Service'!O14)</f>
        <v>0.54400000000000004</v>
      </c>
      <c r="P82" s="266">
        <f>IF('7.Customer Service'!P14="","",'7.Customer Service'!P14)</f>
        <v>0.54500000000000004</v>
      </c>
      <c r="Q82" s="266">
        <f>IF('7.Customer Service'!Q14="","",'7.Customer Service'!Q14)</f>
        <v>0.54600000000000004</v>
      </c>
      <c r="R82" s="266">
        <f>IF('7.Customer Service'!R14="","",'7.Customer Service'!R14)</f>
        <v>0.54700000000000004</v>
      </c>
      <c r="S82" s="266">
        <f>IF('7.Customer Service'!S14="","",'7.Customer Service'!S14)</f>
        <v>0.54900000000000004</v>
      </c>
      <c r="T82" s="266">
        <f>IF('7.Customer Service'!T14="","",'7.Customer Service'!T14)</f>
        <v>0.54900000000000004</v>
      </c>
    </row>
    <row r="83" spans="1:20">
      <c r="A83" t="str">
        <f>'7.Customer Service'!A14</f>
        <v>CP %</v>
      </c>
      <c r="B83" t="str">
        <f>'7.Customer Service'!B14</f>
        <v>Contract penetration Exc EOL/EOS System</v>
      </c>
      <c r="C83" t="str">
        <f>'7.Customer Service'!C14</f>
        <v>&gt;=</v>
      </c>
      <c r="D83">
        <f>'7.Customer Service'!D14</f>
        <v>54.9</v>
      </c>
      <c r="E83" t="str">
        <f>'7.Customer Service'!E14</f>
        <v>%</v>
      </c>
      <c r="F83" t="str">
        <f>'7.Customer Service'!F14</f>
        <v>Higher the better</v>
      </c>
      <c r="G83" t="str">
        <f>'7.Customer Service'!G14</f>
        <v>Monthly</v>
      </c>
      <c r="H83" t="str">
        <f>IF('7.Customer Service'!H15="","",'7.Customer Service'!H15)</f>
        <v>Actual</v>
      </c>
      <c r="I83" s="266">
        <f>IF('7.Customer Service'!I15="","",'7.Customer Service'!I15)</f>
        <v>0.51900000000000002</v>
      </c>
      <c r="J83" s="266">
        <f>IF('7.Customer Service'!J15="","",'7.Customer Service'!J15)</f>
        <v>0.52100000000000002</v>
      </c>
      <c r="K83" s="266">
        <f>IF('7.Customer Service'!K15="","",'7.Customer Service'!K15)</f>
        <v>0.53100000000000003</v>
      </c>
      <c r="L83" s="266">
        <f>IF('7.Customer Service'!L15="","",'7.Customer Service'!L15)</f>
        <v>0.53500000000000003</v>
      </c>
      <c r="M83" s="266">
        <f>IF('7.Customer Service'!M15="","",'7.Customer Service'!M15)</f>
        <v>0.53600000000000003</v>
      </c>
      <c r="N83" s="266">
        <f>IF('7.Customer Service'!N15="","",'7.Customer Service'!N15)</f>
        <v>0.53700000000000003</v>
      </c>
      <c r="O83" s="266">
        <f>IF('7.Customer Service'!O15="","",'7.Customer Service'!O15)</f>
        <v>0.53600000000000003</v>
      </c>
      <c r="P83" s="266" t="str">
        <f>IF('7.Customer Service'!P15="","",'7.Customer Service'!P15)</f>
        <v/>
      </c>
      <c r="Q83" s="266" t="str">
        <f>IF('7.Customer Service'!Q15="","",'7.Customer Service'!Q15)</f>
        <v/>
      </c>
      <c r="R83" s="266" t="str">
        <f>IF('7.Customer Service'!R15="","",'7.Customer Service'!R15)</f>
        <v/>
      </c>
      <c r="S83" s="266" t="str">
        <f>IF('7.Customer Service'!S15="","",'7.Customer Service'!S15)</f>
        <v/>
      </c>
      <c r="T83" s="266" t="str">
        <f>IF('7.Customer Service'!T15="","",'7.Customer Service'!T15)</f>
        <v/>
      </c>
    </row>
    <row r="84" spans="1:20">
      <c r="A84" t="str">
        <f>'7.Customer Service'!A16</f>
        <v>POS Contract %</v>
      </c>
      <c r="B84" t="str">
        <f>'7.Customer Service'!B16</f>
        <v>Point of sale of service contract</v>
      </c>
      <c r="C84" t="str">
        <f>'7.Customer Service'!C16</f>
        <v>&gt;=</v>
      </c>
      <c r="D84">
        <f>'7.Customer Service'!D16</f>
        <v>40</v>
      </c>
      <c r="E84" t="str">
        <f>'7.Customer Service'!E16</f>
        <v>%</v>
      </c>
      <c r="F84" t="str">
        <f>'7.Customer Service'!F16</f>
        <v>Higher the better</v>
      </c>
      <c r="G84" t="str">
        <f>'7.Customer Service'!G16</f>
        <v>Monthly</v>
      </c>
      <c r="H84" t="str">
        <f>IF('7.Customer Service'!H16="","",'7.Customer Service'!H16)</f>
        <v>Target</v>
      </c>
      <c r="I84" s="266">
        <f>IF('7.Customer Service'!I16="","",'7.Customer Service'!I16)</f>
        <v>0.4</v>
      </c>
      <c r="J84" s="266">
        <f>IF('7.Customer Service'!J16="","",'7.Customer Service'!J16)</f>
        <v>0.4</v>
      </c>
      <c r="K84" s="266">
        <f>IF('7.Customer Service'!K16="","",'7.Customer Service'!K16)</f>
        <v>0.4</v>
      </c>
      <c r="L84" s="266">
        <f>IF('7.Customer Service'!L16="","",'7.Customer Service'!L16)</f>
        <v>0.4</v>
      </c>
      <c r="M84" s="266">
        <f>IF('7.Customer Service'!M16="","",'7.Customer Service'!M16)</f>
        <v>0.4</v>
      </c>
      <c r="N84" s="266">
        <f>IF('7.Customer Service'!N16="","",'7.Customer Service'!N16)</f>
        <v>0.4</v>
      </c>
      <c r="O84" s="266">
        <f>IF('7.Customer Service'!O16="","",'7.Customer Service'!O16)</f>
        <v>0.4</v>
      </c>
      <c r="P84" s="266">
        <f>IF('7.Customer Service'!P16="","",'7.Customer Service'!P16)</f>
        <v>0.4</v>
      </c>
      <c r="Q84" s="266">
        <f>IF('7.Customer Service'!Q16="","",'7.Customer Service'!Q16)</f>
        <v>0.4</v>
      </c>
      <c r="R84" s="266">
        <f>IF('7.Customer Service'!R16="","",'7.Customer Service'!R16)</f>
        <v>0.4</v>
      </c>
      <c r="S84" s="266">
        <f>IF('7.Customer Service'!S16="","",'7.Customer Service'!S16)</f>
        <v>0.4</v>
      </c>
      <c r="T84" s="266">
        <f>IF('7.Customer Service'!T16="","",'7.Customer Service'!T16)</f>
        <v>0.4</v>
      </c>
    </row>
    <row r="85" spans="1:20">
      <c r="A85" t="str">
        <f>'7.Customer Service'!A16</f>
        <v>POS Contract %</v>
      </c>
      <c r="B85" t="str">
        <f>'7.Customer Service'!B16</f>
        <v>Point of sale of service contract</v>
      </c>
      <c r="C85" t="str">
        <f>'7.Customer Service'!C16</f>
        <v>&gt;=</v>
      </c>
      <c r="D85">
        <f>'7.Customer Service'!D16</f>
        <v>40</v>
      </c>
      <c r="E85" t="str">
        <f>'7.Customer Service'!E16</f>
        <v>%</v>
      </c>
      <c r="F85" t="str">
        <f>'7.Customer Service'!F16</f>
        <v>Higher the better</v>
      </c>
      <c r="G85" t="str">
        <f>'7.Customer Service'!G16</f>
        <v>Monthly</v>
      </c>
      <c r="H85" t="str">
        <f>IF('7.Customer Service'!H17="","",'7.Customer Service'!H17)</f>
        <v>Actual</v>
      </c>
      <c r="I85" s="266">
        <f>IF('7.Customer Service'!I17="","",'7.Customer Service'!I17)</f>
        <v>0.217</v>
      </c>
      <c r="J85" s="266">
        <f>IF('7.Customer Service'!J17="","",'7.Customer Service'!J17)</f>
        <v>0.28599999999999998</v>
      </c>
      <c r="K85" s="266">
        <f>IF('7.Customer Service'!K17="","",'7.Customer Service'!K17)</f>
        <v>0.31</v>
      </c>
      <c r="L85" s="266">
        <f>IF('7.Customer Service'!L17="","",'7.Customer Service'!L17)</f>
        <v>0.31</v>
      </c>
      <c r="M85" s="266">
        <f>IF('7.Customer Service'!M17="","",'7.Customer Service'!M17)</f>
        <v>0.32</v>
      </c>
      <c r="N85" s="266">
        <f>IF('7.Customer Service'!N17="","",'7.Customer Service'!N17)</f>
        <v>0.42</v>
      </c>
      <c r="O85" s="266">
        <f>IF('7.Customer Service'!O17="","",'7.Customer Service'!O17)</f>
        <v>0.41399999999999998</v>
      </c>
      <c r="P85" s="266" t="str">
        <f>IF('7.Customer Service'!P17="","",'7.Customer Service'!P17)</f>
        <v/>
      </c>
      <c r="Q85" s="266" t="str">
        <f>IF('7.Customer Service'!Q17="","",'7.Customer Service'!Q17)</f>
        <v/>
      </c>
      <c r="R85" s="266" t="str">
        <f>IF('7.Customer Service'!R17="","",'7.Customer Service'!R17)</f>
        <v/>
      </c>
      <c r="S85" s="266" t="str">
        <f>IF('7.Customer Service'!S17="","",'7.Customer Service'!S17)</f>
        <v/>
      </c>
      <c r="T85" s="266" t="str">
        <f>IF('7.Customer Service'!T17="","",'7.Customer Service'!T17)</f>
        <v/>
      </c>
    </row>
    <row r="86" spans="1:20">
      <c r="A86" t="str">
        <f>'7.Customer Service'!A18</f>
        <v>Contract price Improvement (M €)</v>
      </c>
      <c r="B86" t="str">
        <f>'7.Customer Service'!B18</f>
        <v>Contract target price realisation improvement</v>
      </c>
      <c r="C86" t="str">
        <f>'7.Customer Service'!C18</f>
        <v>&gt;=</v>
      </c>
      <c r="D86">
        <f>'7.Customer Service'!D18</f>
        <v>0.6</v>
      </c>
      <c r="E86" t="str">
        <f>'7.Customer Service'!E18</f>
        <v>Mn</v>
      </c>
      <c r="F86" t="str">
        <f>'7.Customer Service'!F18</f>
        <v>Higher the better</v>
      </c>
      <c r="G86" t="str">
        <f>'7.Customer Service'!G18</f>
        <v>Monthly</v>
      </c>
      <c r="H86" t="str">
        <f>IF('7.Customer Service'!H18="","",'7.Customer Service'!H18)</f>
        <v>Target</v>
      </c>
      <c r="I86">
        <f>IF('7.Customer Service'!I18="","",'7.Customer Service'!I18)</f>
        <v>0.02</v>
      </c>
      <c r="J86">
        <f>IF('7.Customer Service'!J18="","",'7.Customer Service'!J18)</f>
        <v>0.05</v>
      </c>
      <c r="K86">
        <f>IF('7.Customer Service'!K18="","",'7.Customer Service'!K18)</f>
        <v>0.08</v>
      </c>
      <c r="L86">
        <f>IF('7.Customer Service'!L18="","",'7.Customer Service'!L18)</f>
        <v>0.11</v>
      </c>
      <c r="M86">
        <f>IF('7.Customer Service'!M18="","",'7.Customer Service'!M18)</f>
        <v>0.16999999999999998</v>
      </c>
      <c r="N86">
        <f>IF('7.Customer Service'!N18="","",'7.Customer Service'!N18)</f>
        <v>0.22999999999999998</v>
      </c>
      <c r="O86">
        <f>IF('7.Customer Service'!O18="","",'7.Customer Service'!O18)</f>
        <v>0.28999999999999998</v>
      </c>
      <c r="P86">
        <f>IF('7.Customer Service'!P18="","",'7.Customer Service'!P18)</f>
        <v>0.37</v>
      </c>
      <c r="Q86">
        <f>IF('7.Customer Service'!Q18="","",'7.Customer Service'!Q18)</f>
        <v>0.45</v>
      </c>
      <c r="R86">
        <f>IF('7.Customer Service'!R18="","",'7.Customer Service'!R18)</f>
        <v>0.53</v>
      </c>
      <c r="S86">
        <f>IF('7.Customer Service'!S18="","",'7.Customer Service'!S18)</f>
        <v>0.61</v>
      </c>
      <c r="T86">
        <f>IF('7.Customer Service'!T18="","",'7.Customer Service'!T18)</f>
        <v>0.61</v>
      </c>
    </row>
    <row r="87" spans="1:20">
      <c r="A87" t="str">
        <f>'7.Customer Service'!A18</f>
        <v>Contract price Improvement (M €)</v>
      </c>
      <c r="B87" t="str">
        <f>'7.Customer Service'!B18</f>
        <v>Contract target price realisation improvement</v>
      </c>
      <c r="C87" t="str">
        <f>'7.Customer Service'!C18</f>
        <v>&gt;=</v>
      </c>
      <c r="D87">
        <f>'7.Customer Service'!D18</f>
        <v>0.6</v>
      </c>
      <c r="E87" t="str">
        <f>'7.Customer Service'!E18</f>
        <v>Mn</v>
      </c>
      <c r="F87" t="str">
        <f>'7.Customer Service'!F18</f>
        <v>Higher the better</v>
      </c>
      <c r="G87" t="str">
        <f>'7.Customer Service'!G18</f>
        <v>Monthly</v>
      </c>
      <c r="H87" t="str">
        <f>IF('7.Customer Service'!H19="","",'7.Customer Service'!H19)</f>
        <v>Actual</v>
      </c>
      <c r="I87">
        <f>IF('7.Customer Service'!I19="","",'7.Customer Service'!I19)</f>
        <v>7.0000000000000007E-2</v>
      </c>
      <c r="J87">
        <f>IF('7.Customer Service'!J19="","",'7.Customer Service'!J19)</f>
        <v>7.0000000000000007E-2</v>
      </c>
      <c r="K87">
        <f>IF('7.Customer Service'!K19="","",'7.Customer Service'!K19)</f>
        <v>0.24</v>
      </c>
      <c r="L87">
        <f>IF('7.Customer Service'!L19="","",'7.Customer Service'!L19)</f>
        <v>0.32</v>
      </c>
      <c r="M87">
        <f>IF('7.Customer Service'!M19="","",'7.Customer Service'!M19)</f>
        <v>0.4</v>
      </c>
      <c r="N87">
        <f>IF('7.Customer Service'!N19="","",'7.Customer Service'!N19)</f>
        <v>0.53</v>
      </c>
      <c r="O87">
        <f>IF('7.Customer Service'!O19="","",'7.Customer Service'!O19)</f>
        <v>0.53</v>
      </c>
      <c r="P87" t="str">
        <f>IF('7.Customer Service'!P19="","",'7.Customer Service'!P19)</f>
        <v/>
      </c>
      <c r="Q87" t="str">
        <f>IF('7.Customer Service'!Q19="","",'7.Customer Service'!Q19)</f>
        <v/>
      </c>
      <c r="R87" t="str">
        <f>IF('7.Customer Service'!R19="","",'7.Customer Service'!R19)</f>
        <v/>
      </c>
      <c r="S87" t="str">
        <f>IF('7.Customer Service'!S19="","",'7.Customer Service'!S19)</f>
        <v/>
      </c>
      <c r="T87" t="str">
        <f>IF('7.Customer Service'!T19="","",'7.Customer Service'!T19)</f>
        <v/>
      </c>
    </row>
    <row r="88" spans="1:20">
      <c r="A88" t="str">
        <f>'7.Customer Service'!A20</f>
        <v>Service Productivity</v>
      </c>
      <c r="B88" t="str">
        <f>'7.Customer Service'!B20</f>
        <v>Service Cost Savings</v>
      </c>
      <c r="C88" t="str">
        <f>'7.Customer Service'!C20</f>
        <v>&lt;=</v>
      </c>
      <c r="D88">
        <f>'7.Customer Service'!D20</f>
        <v>1.3</v>
      </c>
      <c r="E88" t="str">
        <f>'7.Customer Service'!E20</f>
        <v>Mn</v>
      </c>
      <c r="F88" t="str">
        <f>'7.Customer Service'!F20</f>
        <v>Higher the better</v>
      </c>
      <c r="G88" t="str">
        <f>'7.Customer Service'!G20</f>
        <v>Monthly</v>
      </c>
      <c r="H88" t="str">
        <f>IF('7.Customer Service'!H20="","",'7.Customer Service'!H20)</f>
        <v>Target</v>
      </c>
      <c r="I88">
        <f>IF('7.Customer Service'!I20="","",'7.Customer Service'!I20)</f>
        <v>0</v>
      </c>
      <c r="J88">
        <f>IF('7.Customer Service'!J20="","",'7.Customer Service'!J20)</f>
        <v>0.03</v>
      </c>
      <c r="K88">
        <f>IF('7.Customer Service'!K20="","",'7.Customer Service'!K20)</f>
        <v>0.06</v>
      </c>
      <c r="L88">
        <f>IF('7.Customer Service'!L20="","",'7.Customer Service'!L20)</f>
        <v>0.13</v>
      </c>
      <c r="M88">
        <f>IF('7.Customer Service'!M20="","",'7.Customer Service'!M20)</f>
        <v>0.2</v>
      </c>
      <c r="N88">
        <f>IF('7.Customer Service'!N20="","",'7.Customer Service'!N20)</f>
        <v>0.27</v>
      </c>
      <c r="O88">
        <f>IF('7.Customer Service'!O20="","",'7.Customer Service'!O20)</f>
        <v>0.42000000000000004</v>
      </c>
      <c r="P88">
        <f>IF('7.Customer Service'!P20="","",'7.Customer Service'!P20)</f>
        <v>0.57000000000000006</v>
      </c>
      <c r="Q88">
        <f>IF('7.Customer Service'!Q20="","",'7.Customer Service'!Q20)</f>
        <v>0.73000000000000009</v>
      </c>
      <c r="R88">
        <f>IF('7.Customer Service'!R20="","",'7.Customer Service'!R20)</f>
        <v>0.89000000000000012</v>
      </c>
      <c r="S88">
        <f>IF('7.Customer Service'!S20="","",'7.Customer Service'!S20)</f>
        <v>1.0900000000000001</v>
      </c>
      <c r="T88">
        <f>IF('7.Customer Service'!T20="","",'7.Customer Service'!T20)</f>
        <v>1.3</v>
      </c>
    </row>
    <row r="89" spans="1:20">
      <c r="A89" t="str">
        <f>'7.Customer Service'!A20</f>
        <v>Service Productivity</v>
      </c>
      <c r="B89" t="str">
        <f>'7.Customer Service'!B20</f>
        <v>Service Cost Savings</v>
      </c>
      <c r="C89" t="str">
        <f>'7.Customer Service'!C20</f>
        <v>&lt;=</v>
      </c>
      <c r="D89">
        <f>'7.Customer Service'!D20</f>
        <v>1.3</v>
      </c>
      <c r="E89" t="str">
        <f>'7.Customer Service'!E20</f>
        <v>Mn</v>
      </c>
      <c r="F89" t="str">
        <f>'7.Customer Service'!F20</f>
        <v>Higher the better</v>
      </c>
      <c r="G89" t="str">
        <f>'7.Customer Service'!G20</f>
        <v>Monthly</v>
      </c>
      <c r="H89" t="str">
        <f>IF('7.Customer Service'!H21="","",'7.Customer Service'!H21)</f>
        <v>Actual</v>
      </c>
      <c r="I89">
        <f>IF('7.Customer Service'!I21="","",'7.Customer Service'!I21)</f>
        <v>0.01</v>
      </c>
      <c r="J89">
        <f>IF('7.Customer Service'!J21="","",'7.Customer Service'!J21)</f>
        <v>0.03</v>
      </c>
      <c r="K89">
        <f>IF('7.Customer Service'!K21="","",'7.Customer Service'!K21)</f>
        <v>8.5000000000000006E-2</v>
      </c>
      <c r="L89">
        <f>IF('7.Customer Service'!L21="","",'7.Customer Service'!L21)</f>
        <v>0.16</v>
      </c>
      <c r="M89">
        <f>IF('7.Customer Service'!M21="","",'7.Customer Service'!M21)</f>
        <v>0.23</v>
      </c>
      <c r="N89">
        <f>IF('7.Customer Service'!N21="","",'7.Customer Service'!N21)</f>
        <v>0.3</v>
      </c>
      <c r="O89">
        <f>IF('7.Customer Service'!O21="","",'7.Customer Service'!O21)</f>
        <v>0.44</v>
      </c>
      <c r="P89" t="str">
        <f>IF('7.Customer Service'!P21="","",'7.Customer Service'!P21)</f>
        <v/>
      </c>
      <c r="Q89" t="str">
        <f>IF('7.Customer Service'!Q21="","",'7.Customer Service'!Q21)</f>
        <v/>
      </c>
      <c r="R89" t="str">
        <f>IF('7.Customer Service'!R21="","",'7.Customer Service'!R21)</f>
        <v/>
      </c>
      <c r="S89" t="str">
        <f>IF('7.Customer Service'!S21="","",'7.Customer Service'!S21)</f>
        <v/>
      </c>
      <c r="T89" t="str">
        <f>IF('7.Customer Service'!T21="","",'7.Customer Service'!T21)</f>
        <v/>
      </c>
    </row>
    <row r="90" spans="1:20">
      <c r="A90" t="str">
        <f>'7.Customer Service'!A22</f>
        <v>Remote resolution</v>
      </c>
      <c r="B90" t="str">
        <f>'7.Customer Service'!B22</f>
        <v>Remote resolution cases %</v>
      </c>
      <c r="C90" t="str">
        <f>'7.Customer Service'!C22</f>
        <v>&gt;=</v>
      </c>
      <c r="D90">
        <f>'7.Customer Service'!D22</f>
        <v>0.23599999999999999</v>
      </c>
      <c r="E90" t="str">
        <f>'7.Customer Service'!E22</f>
        <v>%</v>
      </c>
      <c r="F90" t="str">
        <f>'7.Customer Service'!F22</f>
        <v>Higher the better</v>
      </c>
      <c r="G90" t="str">
        <f>'7.Customer Service'!G22</f>
        <v>Monthly</v>
      </c>
      <c r="H90" t="str">
        <f>IF('7.Customer Service'!H22="","",'7.Customer Service'!H22)</f>
        <v>Target</v>
      </c>
      <c r="I90">
        <f>IF('7.Customer Service'!I22="","",'7.Customer Service'!I22)</f>
        <v>0.22053895497960274</v>
      </c>
      <c r="J90" s="266">
        <f>IF('7.Customer Service'!J22="","",'7.Customer Service'!J22)</f>
        <v>0.22198023304101416</v>
      </c>
      <c r="K90" s="266">
        <f>IF('7.Customer Service'!K22="","",'7.Customer Service'!K22)</f>
        <v>0.22342151110242559</v>
      </c>
      <c r="L90" s="266">
        <f>IF('7.Customer Service'!L22="","",'7.Customer Service'!L22)</f>
        <v>0.22486278916383703</v>
      </c>
      <c r="M90" s="266">
        <f>IF('7.Customer Service'!M22="","",'7.Customer Service'!M22)</f>
        <v>0.22630406722524848</v>
      </c>
      <c r="N90" s="266">
        <f>IF('7.Customer Service'!N22="","",'7.Customer Service'!N22)</f>
        <v>0.22774534528665999</v>
      </c>
      <c r="O90" s="266">
        <f>IF('7.Customer Service'!O22="","",'7.Customer Service'!O22)</f>
        <v>0.22918662334807141</v>
      </c>
      <c r="P90" s="266">
        <f>IF('7.Customer Service'!P22="","",'7.Customer Service'!P22)</f>
        <v>0.23062790140948286</v>
      </c>
      <c r="Q90" s="266">
        <f>IF('7.Customer Service'!Q22="","",'7.Customer Service'!Q22)</f>
        <v>0.23206917947089434</v>
      </c>
      <c r="R90" s="266">
        <f>IF('7.Customer Service'!R22="","",'7.Customer Service'!R22)</f>
        <v>0.23351045753230576</v>
      </c>
      <c r="S90" s="266">
        <f>IF('7.Customer Service'!S22="","",'7.Customer Service'!S22)</f>
        <v>0.23495173559371718</v>
      </c>
      <c r="T90" s="266">
        <f>IF('7.Customer Service'!T22="","",'7.Customer Service'!T22)</f>
        <v>0.23639301365512863</v>
      </c>
    </row>
    <row r="91" spans="1:20">
      <c r="A91" t="str">
        <f>'7.Customer Service'!A22</f>
        <v>Remote resolution</v>
      </c>
      <c r="B91" t="str">
        <f>'7.Customer Service'!B22</f>
        <v>Remote resolution cases %</v>
      </c>
      <c r="C91" t="str">
        <f>'7.Customer Service'!C22</f>
        <v>&gt;=</v>
      </c>
      <c r="D91">
        <f>'7.Customer Service'!D22</f>
        <v>0.23599999999999999</v>
      </c>
      <c r="E91" t="str">
        <f>'7.Customer Service'!E22</f>
        <v>%</v>
      </c>
      <c r="F91" t="str">
        <f>'7.Customer Service'!F22</f>
        <v>Higher the better</v>
      </c>
      <c r="G91" t="str">
        <f>'7.Customer Service'!G22</f>
        <v>Monthly</v>
      </c>
      <c r="H91" t="str">
        <f>IF('7.Customer Service'!H23="","",'7.Customer Service'!H23)</f>
        <v>Actual</v>
      </c>
      <c r="I91">
        <f>IF('7.Customer Service'!I23="","",'7.Customer Service'!I23)</f>
        <v>0.215</v>
      </c>
      <c r="J91" s="266">
        <f>IF('7.Customer Service'!J23="","",'7.Customer Service'!J23)</f>
        <v>0.21299999999999999</v>
      </c>
      <c r="K91" s="266">
        <f>IF('7.Customer Service'!K23="","",'7.Customer Service'!K23)</f>
        <v>0.21199999999999999</v>
      </c>
      <c r="L91" s="266">
        <f>IF('7.Customer Service'!L23="","",'7.Customer Service'!L23)</f>
        <v>0.221</v>
      </c>
      <c r="M91" s="266">
        <f>IF('7.Customer Service'!M23="","",'7.Customer Service'!M23)</f>
        <v>0.22700000000000001</v>
      </c>
      <c r="N91" s="266">
        <f>IF('7.Customer Service'!N23="","",'7.Customer Service'!N23)</f>
        <v>0.22040000000000001</v>
      </c>
      <c r="O91" s="266">
        <f>IF('7.Customer Service'!O23="","",'7.Customer Service'!O23)</f>
        <v>0.24</v>
      </c>
      <c r="P91" s="266" t="str">
        <f>IF('7.Customer Service'!P23="","",'7.Customer Service'!P23)</f>
        <v/>
      </c>
      <c r="Q91" s="266" t="str">
        <f>IF('7.Customer Service'!Q23="","",'7.Customer Service'!Q23)</f>
        <v/>
      </c>
      <c r="R91" s="266" t="str">
        <f>IF('7.Customer Service'!R23="","",'7.Customer Service'!R23)</f>
        <v/>
      </c>
      <c r="S91" s="266" t="str">
        <f>IF('7.Customer Service'!S23="","",'7.Customer Service'!S23)</f>
        <v/>
      </c>
      <c r="T91" s="266" t="str">
        <f>IF('7.Customer Service'!T23="","",'7.Customer Service'!T23)</f>
        <v/>
      </c>
    </row>
    <row r="92" spans="1:20">
      <c r="A92" t="str">
        <f>'7.Customer Service'!A24</f>
        <v>OPF%</v>
      </c>
      <c r="B92" t="str">
        <f>'7.Customer Service'!B24</f>
        <v>One part Fix %</v>
      </c>
      <c r="C92" t="str">
        <f>'7.Customer Service'!C24</f>
        <v>&gt;=</v>
      </c>
      <c r="D92">
        <f>'7.Customer Service'!D24</f>
        <v>0.81599999999999995</v>
      </c>
      <c r="E92" t="str">
        <f>'7.Customer Service'!E24</f>
        <v>%</v>
      </c>
      <c r="F92" t="str">
        <f>'7.Customer Service'!F24</f>
        <v>Higher the better</v>
      </c>
      <c r="G92" t="str">
        <f>'7.Customer Service'!G24</f>
        <v>Monthly</v>
      </c>
      <c r="H92" t="str">
        <f>IF('7.Customer Service'!H24="","",'7.Customer Service'!H24)</f>
        <v>Target</v>
      </c>
      <c r="I92">
        <f>IF('7.Customer Service'!I24="","",'7.Customer Service'!I24)</f>
        <v>0.80400000000000005</v>
      </c>
      <c r="J92" s="266">
        <f>IF('7.Customer Service'!J24="","",'7.Customer Service'!J24)</f>
        <v>0.80500000000000005</v>
      </c>
      <c r="K92" s="266">
        <f>IF('7.Customer Service'!K24="","",'7.Customer Service'!K24)</f>
        <v>0.80600000000000005</v>
      </c>
      <c r="L92" s="266">
        <f>IF('7.Customer Service'!L24="","",'7.Customer Service'!L24)</f>
        <v>0.80700000000000005</v>
      </c>
      <c r="M92" s="266">
        <f>IF('7.Customer Service'!M24="","",'7.Customer Service'!M24)</f>
        <v>0.80800000000000005</v>
      </c>
      <c r="N92" s="266">
        <f>IF('7.Customer Service'!N24="","",'7.Customer Service'!N24)</f>
        <v>0.80900000000000005</v>
      </c>
      <c r="O92" s="266">
        <f>IF('7.Customer Service'!O24="","",'7.Customer Service'!O24)</f>
        <v>0.81</v>
      </c>
      <c r="P92" s="266">
        <f>IF('7.Customer Service'!P24="","",'7.Customer Service'!P24)</f>
        <v>0.81100000000000005</v>
      </c>
      <c r="Q92" s="266">
        <f>IF('7.Customer Service'!Q24="","",'7.Customer Service'!Q24)</f>
        <v>0.81200000000000006</v>
      </c>
      <c r="R92" s="266">
        <f>IF('7.Customer Service'!R24="","",'7.Customer Service'!R24)</f>
        <v>0.81399999999999995</v>
      </c>
      <c r="S92" s="266">
        <f>IF('7.Customer Service'!S24="","",'7.Customer Service'!S24)</f>
        <v>0.81499999999999995</v>
      </c>
      <c r="T92" s="266">
        <f>IF('7.Customer Service'!T24="","",'7.Customer Service'!T24)</f>
        <v>0.81599999999999995</v>
      </c>
    </row>
    <row r="93" spans="1:20">
      <c r="A93" t="str">
        <f>'7.Customer Service'!A24</f>
        <v>OPF%</v>
      </c>
      <c r="B93" t="str">
        <f>'7.Customer Service'!B24</f>
        <v>One part Fix %</v>
      </c>
      <c r="C93" t="str">
        <f>'7.Customer Service'!C24</f>
        <v>&gt;=</v>
      </c>
      <c r="D93">
        <f>'7.Customer Service'!D24</f>
        <v>0.81599999999999995</v>
      </c>
      <c r="E93" t="str">
        <f>'7.Customer Service'!E24</f>
        <v>%</v>
      </c>
      <c r="F93" t="str">
        <f>'7.Customer Service'!F24</f>
        <v>Higher the better</v>
      </c>
      <c r="G93" t="str">
        <f>'7.Customer Service'!G24</f>
        <v>Monthly</v>
      </c>
      <c r="H93" t="str">
        <f>IF('7.Customer Service'!H25="","",'7.Customer Service'!H25)</f>
        <v>Actual</v>
      </c>
      <c r="I93">
        <f>IF('7.Customer Service'!I25="","",'7.Customer Service'!I25)</f>
        <v>0.81879999999999997</v>
      </c>
      <c r="J93" s="266">
        <f>IF('7.Customer Service'!J25="","",'7.Customer Service'!J25)</f>
        <v>0.81399999999999995</v>
      </c>
      <c r="K93" s="266">
        <f>IF('7.Customer Service'!K25="","",'7.Customer Service'!K25)</f>
        <v>0.8</v>
      </c>
      <c r="L93" s="266">
        <f>IF('7.Customer Service'!L25="","",'7.Customer Service'!L25)</f>
        <v>0.80200000000000005</v>
      </c>
      <c r="M93" s="266">
        <f>IF('7.Customer Service'!M25="","",'7.Customer Service'!M25)</f>
        <v>0.80400000000000005</v>
      </c>
      <c r="N93" s="266">
        <f>IF('7.Customer Service'!N25="","",'7.Customer Service'!N25)</f>
        <v>0.80559999999999998</v>
      </c>
      <c r="O93" s="266">
        <f>IF('7.Customer Service'!O25="","",'7.Customer Service'!O25)</f>
        <v>0.81</v>
      </c>
      <c r="P93" s="266" t="str">
        <f>IF('7.Customer Service'!P25="","",'7.Customer Service'!P25)</f>
        <v/>
      </c>
      <c r="Q93" s="266" t="str">
        <f>IF('7.Customer Service'!Q25="","",'7.Customer Service'!Q25)</f>
        <v/>
      </c>
      <c r="R93" s="266" t="str">
        <f>IF('7.Customer Service'!R25="","",'7.Customer Service'!R25)</f>
        <v/>
      </c>
      <c r="S93" s="266" t="str">
        <f>IF('7.Customer Service'!S25="","",'7.Customer Service'!S25)</f>
        <v/>
      </c>
      <c r="T93" s="266" t="str">
        <f>IF('7.Customer Service'!T25="","",'7.Customer Service'!T25)</f>
        <v/>
      </c>
    </row>
    <row r="94" spans="1:20">
      <c r="A94" t="str">
        <f>'7.Customer Service'!A26</f>
        <v>First Vist Fix (Parts)</v>
      </c>
      <c r="B94" t="str">
        <f>'7.Customer Service'!B26</f>
        <v>Customer Satisfaction -on resolution</v>
      </c>
      <c r="C94" t="str">
        <f>'7.Customer Service'!C26</f>
        <v>&lt;=</v>
      </c>
      <c r="D94">
        <f>'7.Customer Service'!D26</f>
        <v>0.70899999999999996</v>
      </c>
      <c r="E94" t="str">
        <f>'7.Customer Service'!E26</f>
        <v>%</v>
      </c>
      <c r="F94" t="str">
        <f>'7.Customer Service'!F26</f>
        <v>Higher the better</v>
      </c>
      <c r="G94" t="str">
        <f>'7.Customer Service'!G26</f>
        <v>Monthly</v>
      </c>
      <c r="H94" t="str">
        <f>IF('7.Customer Service'!H26="","",'7.Customer Service'!H26)</f>
        <v>Target</v>
      </c>
      <c r="I94">
        <f>IF('7.Customer Service'!I26="","",'7.Customer Service'!I26)</f>
        <v>0.7</v>
      </c>
      <c r="J94" s="266">
        <f>IF('7.Customer Service'!J26="","",'7.Customer Service'!J26)</f>
        <v>0.7</v>
      </c>
      <c r="K94" s="266">
        <f>IF('7.Customer Service'!K26="","",'7.Customer Service'!K26)</f>
        <v>0.7</v>
      </c>
      <c r="L94" s="266">
        <f>IF('7.Customer Service'!L26="","",'7.Customer Service'!L26)</f>
        <v>0.7</v>
      </c>
      <c r="M94" s="266">
        <f>IF('7.Customer Service'!M26="","",'7.Customer Service'!M26)</f>
        <v>0.7</v>
      </c>
      <c r="N94" s="266">
        <f>IF('7.Customer Service'!N26="","",'7.Customer Service'!N26)</f>
        <v>0.7</v>
      </c>
      <c r="O94" s="266">
        <f>IF('7.Customer Service'!O26="","",'7.Customer Service'!O26)</f>
        <v>0.7</v>
      </c>
      <c r="P94" s="266">
        <f>IF('7.Customer Service'!P26="","",'7.Customer Service'!P26)</f>
        <v>0.7</v>
      </c>
      <c r="Q94" s="266">
        <f>IF('7.Customer Service'!Q26="","",'7.Customer Service'!Q26)</f>
        <v>0.7</v>
      </c>
      <c r="R94" s="266">
        <f>IF('7.Customer Service'!R26="","",'7.Customer Service'!R26)</f>
        <v>0.7</v>
      </c>
      <c r="S94" s="266">
        <f>IF('7.Customer Service'!S26="","",'7.Customer Service'!S26)</f>
        <v>0.7</v>
      </c>
      <c r="T94" s="266">
        <f>IF('7.Customer Service'!T26="","",'7.Customer Service'!T26)</f>
        <v>0.7</v>
      </c>
    </row>
    <row r="95" spans="1:20">
      <c r="A95" t="str">
        <f>'7.Customer Service'!A26</f>
        <v>First Vist Fix (Parts)</v>
      </c>
      <c r="B95" t="str">
        <f>'7.Customer Service'!B26</f>
        <v>Customer Satisfaction -on resolution</v>
      </c>
      <c r="C95" t="str">
        <f>'7.Customer Service'!C26</f>
        <v>&lt;=</v>
      </c>
      <c r="D95">
        <f>'7.Customer Service'!D26</f>
        <v>0.70899999999999996</v>
      </c>
      <c r="E95" t="str">
        <f>'7.Customer Service'!E26</f>
        <v>%</v>
      </c>
      <c r="F95" t="str">
        <f>'7.Customer Service'!F26</f>
        <v>Higher the better</v>
      </c>
      <c r="G95" t="str">
        <f>'7.Customer Service'!G26</f>
        <v>Monthly</v>
      </c>
      <c r="H95" t="str">
        <f>IF('7.Customer Service'!H27="","",'7.Customer Service'!H27)</f>
        <v>Actual</v>
      </c>
      <c r="I95">
        <f>IF('7.Customer Service'!I27="","",'7.Customer Service'!I27)</f>
        <v>0.69499999999999995</v>
      </c>
      <c r="J95" s="266">
        <f>IF('7.Customer Service'!J27="","",'7.Customer Service'!J27)</f>
        <v>0.64800000000000002</v>
      </c>
      <c r="K95" s="266">
        <f>IF('7.Customer Service'!K27="","",'7.Customer Service'!K27)</f>
        <v>0.68100000000000005</v>
      </c>
      <c r="L95" s="266">
        <f>IF('7.Customer Service'!L27="","",'7.Customer Service'!L27)</f>
        <v>0.69499999999999995</v>
      </c>
      <c r="M95" s="266">
        <f>IF('7.Customer Service'!M27="","",'7.Customer Service'!M27)</f>
        <v>0.7</v>
      </c>
      <c r="N95" s="266">
        <f>IF('7.Customer Service'!N27="","",'7.Customer Service'!N27)</f>
        <v>0.7</v>
      </c>
      <c r="O95" s="266">
        <f>IF('7.Customer Service'!O27="","",'7.Customer Service'!O27)</f>
        <v>0.69699999999999995</v>
      </c>
      <c r="P95" s="266" t="str">
        <f>IF('7.Customer Service'!P27="","",'7.Customer Service'!P27)</f>
        <v/>
      </c>
      <c r="Q95" s="266" t="str">
        <f>IF('7.Customer Service'!Q27="","",'7.Customer Service'!Q27)</f>
        <v/>
      </c>
      <c r="R95" s="266" t="str">
        <f>IF('7.Customer Service'!R27="","",'7.Customer Service'!R27)</f>
        <v/>
      </c>
      <c r="S95" s="266" t="str">
        <f>IF('7.Customer Service'!S27="","",'7.Customer Service'!S27)</f>
        <v/>
      </c>
      <c r="T95" s="266" t="str">
        <f>IF('7.Customer Service'!T27="","",'7.Customer Service'!T27)</f>
        <v/>
      </c>
    </row>
    <row r="97" spans="1:20">
      <c r="A97" s="13" t="s">
        <v>82</v>
      </c>
    </row>
    <row r="98" spans="1:20">
      <c r="A98" t="s">
        <v>58</v>
      </c>
      <c r="B98" t="s">
        <v>59</v>
      </c>
      <c r="C98" t="s">
        <v>5</v>
      </c>
      <c r="D98" t="s">
        <v>60</v>
      </c>
      <c r="E98" t="s">
        <v>7</v>
      </c>
      <c r="F98" t="s">
        <v>61</v>
      </c>
      <c r="G98" t="s">
        <v>9</v>
      </c>
      <c r="H98" t="s">
        <v>62</v>
      </c>
      <c r="I98" s="261" t="s">
        <v>63</v>
      </c>
      <c r="J98" s="261" t="s">
        <v>64</v>
      </c>
      <c r="K98" s="261" t="s">
        <v>65</v>
      </c>
      <c r="L98" s="261" t="s">
        <v>66</v>
      </c>
      <c r="M98" s="261" t="s">
        <v>67</v>
      </c>
      <c r="N98" s="261" t="s">
        <v>68</v>
      </c>
      <c r="O98" s="261" t="s">
        <v>69</v>
      </c>
      <c r="P98" s="261" t="s">
        <v>70</v>
      </c>
      <c r="Q98" s="261" t="s">
        <v>71</v>
      </c>
      <c r="R98" s="261" t="s">
        <v>72</v>
      </c>
      <c r="S98" s="261" t="s">
        <v>73</v>
      </c>
      <c r="T98" s="262" t="s">
        <v>74</v>
      </c>
    </row>
    <row r="99" spans="1:20">
      <c r="A99" t="str">
        <f>'8.Commercial Excellence'!A14</f>
        <v>Funnel with 70%++ probabilty of winning</v>
      </c>
      <c r="B99" t="str">
        <f>'8.Commercial Excellence'!B14</f>
        <v>BC with FC Flag + Commit+ Order Booked</v>
      </c>
      <c r="C99" t="str">
        <f>'8.Commercial Excellence'!C14</f>
        <v>&gt;=</v>
      </c>
      <c r="D99">
        <f>'8.Commercial Excellence'!D14</f>
        <v>145</v>
      </c>
      <c r="E99" t="str">
        <f>'8.Commercial Excellence'!E14</f>
        <v>%</v>
      </c>
      <c r="F99" t="str">
        <f>'8.Commercial Excellence'!F14</f>
        <v>Higher the better</v>
      </c>
      <c r="G99" t="str">
        <f>'8.Commercial Excellence'!G14</f>
        <v>Monthly</v>
      </c>
      <c r="H99" t="str">
        <f>IF('8.Commercial Excellence'!H14="","",'8.Commercial Excellence'!H14)</f>
        <v>Target</v>
      </c>
      <c r="I99">
        <f>IF('8.Commercial Excellence'!I14="","",'8.Commercial Excellence'!I14)</f>
        <v>6.9</v>
      </c>
      <c r="J99">
        <f>IF('8.Commercial Excellence'!J14="","",'8.Commercial Excellence'!J14)</f>
        <v>8.5</v>
      </c>
      <c r="K99">
        <f>IF('8.Commercial Excellence'!K14="","",'8.Commercial Excellence'!K14)</f>
        <v>12.6</v>
      </c>
      <c r="L99">
        <f>IF('8.Commercial Excellence'!L14="","",'8.Commercial Excellence'!L14)</f>
        <v>9.5</v>
      </c>
      <c r="M99">
        <f>IF('8.Commercial Excellence'!M14="","",'8.Commercial Excellence'!M14)</f>
        <v>10.6</v>
      </c>
      <c r="N99">
        <f>IF('8.Commercial Excellence'!N14="","",'8.Commercial Excellence'!N14)</f>
        <v>15.6</v>
      </c>
      <c r="O99">
        <f>IF('8.Commercial Excellence'!O14="","",'8.Commercial Excellence'!O14)</f>
        <v>8.9</v>
      </c>
      <c r="P99">
        <f>IF('8.Commercial Excellence'!P14="","",'8.Commercial Excellence'!P14)</f>
        <v>11.9</v>
      </c>
      <c r="Q99">
        <f>IF('8.Commercial Excellence'!Q14="","",'8.Commercial Excellence'!Q14)</f>
        <v>16.5</v>
      </c>
      <c r="R99">
        <f>IF('8.Commercial Excellence'!R14="","",'8.Commercial Excellence'!R14)</f>
        <v>11.2</v>
      </c>
      <c r="S99">
        <f>IF('8.Commercial Excellence'!S14="","",'8.Commercial Excellence'!S14)</f>
        <v>15.9</v>
      </c>
      <c r="T99">
        <f>IF('8.Commercial Excellence'!T14="","",'8.Commercial Excellence'!T14)</f>
        <v>16.899999999999999</v>
      </c>
    </row>
    <row r="100" spans="1:20">
      <c r="A100" t="str">
        <f>'8.Commercial Excellence'!A14</f>
        <v>Funnel with 70%++ probabilty of winning</v>
      </c>
      <c r="B100" t="str">
        <f>'8.Commercial Excellence'!B14</f>
        <v>BC with FC Flag + Commit+ Order Booked</v>
      </c>
      <c r="C100" t="str">
        <f>'8.Commercial Excellence'!C14</f>
        <v>&gt;=</v>
      </c>
      <c r="D100">
        <f>'8.Commercial Excellence'!D14</f>
        <v>145</v>
      </c>
      <c r="E100" t="str">
        <f>'8.Commercial Excellence'!E14</f>
        <v>%</v>
      </c>
      <c r="F100" t="str">
        <f>'8.Commercial Excellence'!F14</f>
        <v>Higher the better</v>
      </c>
      <c r="G100" t="str">
        <f>'8.Commercial Excellence'!G14</f>
        <v>Monthly</v>
      </c>
      <c r="H100" t="str">
        <f>IF('8.Commercial Excellence'!H15="","",'8.Commercial Excellence'!H15)</f>
        <v>Actual</v>
      </c>
      <c r="I100">
        <f>IF('8.Commercial Excellence'!I15="","",'8.Commercial Excellence'!I15)</f>
        <v>7.6</v>
      </c>
      <c r="J100">
        <f>IF('8.Commercial Excellence'!J15="","",'8.Commercial Excellence'!J15)</f>
        <v>8.9</v>
      </c>
      <c r="K100">
        <f>IF('8.Commercial Excellence'!K15="","",'8.Commercial Excellence'!K15)</f>
        <v>18.8</v>
      </c>
      <c r="L100">
        <f>IF('8.Commercial Excellence'!L15="","",'8.Commercial Excellence'!L15)</f>
        <v>7.5</v>
      </c>
      <c r="M100" t="str">
        <f>IF('8.Commercial Excellence'!M15="","",'8.Commercial Excellence'!M15)</f>
        <v/>
      </c>
      <c r="N100" t="str">
        <f>IF('8.Commercial Excellence'!N15="","",'8.Commercial Excellence'!N15)</f>
        <v/>
      </c>
      <c r="O100" t="str">
        <f>IF('8.Commercial Excellence'!O15="","",'8.Commercial Excellence'!O15)</f>
        <v/>
      </c>
      <c r="P100" t="str">
        <f>IF('8.Commercial Excellence'!P15="","",'8.Commercial Excellence'!P15)</f>
        <v/>
      </c>
      <c r="Q100" t="str">
        <f>IF('8.Commercial Excellence'!Q15="","",'8.Commercial Excellence'!Q15)</f>
        <v/>
      </c>
      <c r="R100" t="str">
        <f>IF('8.Commercial Excellence'!R15="","",'8.Commercial Excellence'!R15)</f>
        <v/>
      </c>
      <c r="S100" t="str">
        <f>IF('8.Commercial Excellence'!S15="","",'8.Commercial Excellence'!S15)</f>
        <v/>
      </c>
      <c r="T100" t="str">
        <f>IF('8.Commercial Excellence'!T15="","",'8.Commercial Excellence'!T15)</f>
        <v/>
      </c>
    </row>
    <row r="101" spans="1:20">
      <c r="A101" t="str">
        <f>'8.Commercial Excellence'!A16</f>
        <v>Demo Utilization</v>
      </c>
      <c r="B101" t="str">
        <f>'8.Commercial Excellence'!B16</f>
        <v>How much of our Demo inventory is being used actively.</v>
      </c>
      <c r="C101" t="str">
        <f>'8.Commercial Excellence'!C16</f>
        <v>&gt;=</v>
      </c>
      <c r="D101">
        <f>'8.Commercial Excellence'!D16</f>
        <v>1</v>
      </c>
      <c r="E101" t="str">
        <f>'8.Commercial Excellence'!E16</f>
        <v>%</v>
      </c>
      <c r="F101" t="str">
        <f>'8.Commercial Excellence'!F16</f>
        <v>Higher the better</v>
      </c>
      <c r="G101" t="str">
        <f>'8.Commercial Excellence'!G16</f>
        <v>Monthly</v>
      </c>
      <c r="H101" t="str">
        <f>IF('8.Commercial Excellence'!H16="","",'8.Commercial Excellence'!H16)</f>
        <v>Target</v>
      </c>
      <c r="I101" t="str">
        <f>IF('8.Commercial Excellence'!I16="","",'8.Commercial Excellence'!I16)</f>
        <v/>
      </c>
      <c r="J101" t="str">
        <f>IF('8.Commercial Excellence'!J16="","",'8.Commercial Excellence'!J16)</f>
        <v/>
      </c>
      <c r="K101" t="str">
        <f>IF('8.Commercial Excellence'!K16="","",'8.Commercial Excellence'!K16)</f>
        <v/>
      </c>
      <c r="L101" t="str">
        <f>IF('8.Commercial Excellence'!L16="","",'8.Commercial Excellence'!L16)</f>
        <v/>
      </c>
      <c r="M101" t="str">
        <f>IF('8.Commercial Excellence'!M16="","",'8.Commercial Excellence'!M16)</f>
        <v/>
      </c>
      <c r="N101" t="str">
        <f>IF('8.Commercial Excellence'!N16="","",'8.Commercial Excellence'!N16)</f>
        <v/>
      </c>
      <c r="O101" t="str">
        <f>IF('8.Commercial Excellence'!O16="","",'8.Commercial Excellence'!O16)</f>
        <v/>
      </c>
      <c r="P101" t="str">
        <f>IF('8.Commercial Excellence'!P16="","",'8.Commercial Excellence'!P16)</f>
        <v/>
      </c>
      <c r="Q101" t="str">
        <f>IF('8.Commercial Excellence'!Q16="","",'8.Commercial Excellence'!Q16)</f>
        <v/>
      </c>
      <c r="R101" t="str">
        <f>IF('8.Commercial Excellence'!R16="","",'8.Commercial Excellence'!R16)</f>
        <v/>
      </c>
      <c r="S101" t="str">
        <f>IF('8.Commercial Excellence'!S16="","",'8.Commercial Excellence'!S16)</f>
        <v/>
      </c>
      <c r="T101" t="str">
        <f>IF('8.Commercial Excellence'!T16="","",'8.Commercial Excellence'!T16)</f>
        <v/>
      </c>
    </row>
    <row r="102" spans="1:20">
      <c r="A102" t="str">
        <f>'8.Commercial Excellence'!A16</f>
        <v>Demo Utilization</v>
      </c>
      <c r="B102" t="str">
        <f>'8.Commercial Excellence'!B16</f>
        <v>How much of our Demo inventory is being used actively.</v>
      </c>
      <c r="C102" t="str">
        <f>'8.Commercial Excellence'!C16</f>
        <v>&gt;=</v>
      </c>
      <c r="D102">
        <f>'8.Commercial Excellence'!D16</f>
        <v>1</v>
      </c>
      <c r="E102" t="str">
        <f>'8.Commercial Excellence'!E16</f>
        <v>%</v>
      </c>
      <c r="F102" t="str">
        <f>'8.Commercial Excellence'!F16</f>
        <v>Higher the better</v>
      </c>
      <c r="G102" t="str">
        <f>'8.Commercial Excellence'!G16</f>
        <v>Monthly</v>
      </c>
      <c r="H102" t="str">
        <f>IF('8.Commercial Excellence'!H17="","",'8.Commercial Excellence'!H17)</f>
        <v>Actual</v>
      </c>
      <c r="I102" t="str">
        <f>IF('8.Commercial Excellence'!I17="","",'8.Commercial Excellence'!I17)</f>
        <v/>
      </c>
      <c r="J102" t="str">
        <f>IF('8.Commercial Excellence'!J17="","",'8.Commercial Excellence'!J17)</f>
        <v/>
      </c>
      <c r="K102" t="str">
        <f>IF('8.Commercial Excellence'!K17="","",'8.Commercial Excellence'!K17)</f>
        <v/>
      </c>
      <c r="L102" t="str">
        <f>IF('8.Commercial Excellence'!L17="","",'8.Commercial Excellence'!L17)</f>
        <v/>
      </c>
      <c r="M102" t="str">
        <f>IF('8.Commercial Excellence'!M17="","",'8.Commercial Excellence'!M17)</f>
        <v/>
      </c>
      <c r="N102" t="str">
        <f>IF('8.Commercial Excellence'!N17="","",'8.Commercial Excellence'!N17)</f>
        <v/>
      </c>
      <c r="O102" t="str">
        <f>IF('8.Commercial Excellence'!O17="","",'8.Commercial Excellence'!O17)</f>
        <v/>
      </c>
      <c r="P102" t="str">
        <f>IF('8.Commercial Excellence'!P17="","",'8.Commercial Excellence'!P17)</f>
        <v/>
      </c>
      <c r="Q102" t="str">
        <f>IF('8.Commercial Excellence'!Q17="","",'8.Commercial Excellence'!Q17)</f>
        <v/>
      </c>
      <c r="R102" t="str">
        <f>IF('8.Commercial Excellence'!R17="","",'8.Commercial Excellence'!R17)</f>
        <v/>
      </c>
      <c r="S102" t="str">
        <f>IF('8.Commercial Excellence'!S17="","",'8.Commercial Excellence'!S17)</f>
        <v/>
      </c>
      <c r="T102" t="str">
        <f>IF('8.Commercial Excellence'!T17="","",'8.Commercial Excellence'!T17)</f>
        <v/>
      </c>
    </row>
    <row r="103" spans="1:20">
      <c r="A103" t="str">
        <f>'8.Commercial Excellence'!A18</f>
        <v xml:space="preserve">Demo Refurb </v>
      </c>
      <c r="B103" t="str">
        <f>'8.Commercial Excellence'!B18</f>
        <v>% Of Demo Units Going through Refurb Process per Quarter</v>
      </c>
      <c r="C103" t="str">
        <f>'8.Commercial Excellence'!C18</f>
        <v>&gt;=</v>
      </c>
      <c r="D103">
        <f>'8.Commercial Excellence'!D18</f>
        <v>1</v>
      </c>
      <c r="E103" t="str">
        <f>'8.Commercial Excellence'!E18</f>
        <v>%</v>
      </c>
      <c r="F103" t="str">
        <f>'8.Commercial Excellence'!F18</f>
        <v>Higher the better</v>
      </c>
      <c r="G103" t="str">
        <f>'8.Commercial Excellence'!G18</f>
        <v>Quarterly</v>
      </c>
      <c r="H103" t="str">
        <f>IF('8.Commercial Excellence'!H18="","",'8.Commercial Excellence'!H18)</f>
        <v>Target</v>
      </c>
      <c r="I103" t="str">
        <f>IF('8.Commercial Excellence'!I18="","",'8.Commercial Excellence'!I18)</f>
        <v/>
      </c>
      <c r="J103" t="str">
        <f>IF('8.Commercial Excellence'!J18="","",'8.Commercial Excellence'!J18)</f>
        <v/>
      </c>
      <c r="K103" t="str">
        <f>IF('8.Commercial Excellence'!K18="","",'8.Commercial Excellence'!K18)</f>
        <v/>
      </c>
      <c r="L103" t="str">
        <f>IF('8.Commercial Excellence'!L18="","",'8.Commercial Excellence'!L18)</f>
        <v/>
      </c>
      <c r="M103" t="str">
        <f>IF('8.Commercial Excellence'!M18="","",'8.Commercial Excellence'!M18)</f>
        <v/>
      </c>
      <c r="N103" t="str">
        <f>IF('8.Commercial Excellence'!N18="","",'8.Commercial Excellence'!N18)</f>
        <v/>
      </c>
      <c r="O103" t="str">
        <f>IF('8.Commercial Excellence'!O18="","",'8.Commercial Excellence'!O18)</f>
        <v/>
      </c>
      <c r="P103" t="str">
        <f>IF('8.Commercial Excellence'!P18="","",'8.Commercial Excellence'!P18)</f>
        <v/>
      </c>
      <c r="Q103" t="str">
        <f>IF('8.Commercial Excellence'!Q18="","",'8.Commercial Excellence'!Q18)</f>
        <v/>
      </c>
      <c r="R103" t="str">
        <f>IF('8.Commercial Excellence'!R18="","",'8.Commercial Excellence'!R18)</f>
        <v/>
      </c>
      <c r="S103" t="str">
        <f>IF('8.Commercial Excellence'!S18="","",'8.Commercial Excellence'!S18)</f>
        <v/>
      </c>
      <c r="T103" t="str">
        <f>IF('8.Commercial Excellence'!T18="","",'8.Commercial Excellence'!T18)</f>
        <v/>
      </c>
    </row>
    <row r="104" spans="1:20">
      <c r="A104" t="str">
        <f>'8.Commercial Excellence'!A18</f>
        <v xml:space="preserve">Demo Refurb </v>
      </c>
      <c r="B104" t="str">
        <f>'8.Commercial Excellence'!B18</f>
        <v>% Of Demo Units Going through Refurb Process per Quarter</v>
      </c>
      <c r="C104" t="str">
        <f>'8.Commercial Excellence'!C18</f>
        <v>&gt;=</v>
      </c>
      <c r="D104">
        <f>'8.Commercial Excellence'!D18</f>
        <v>1</v>
      </c>
      <c r="E104" t="str">
        <f>'8.Commercial Excellence'!E18</f>
        <v>%</v>
      </c>
      <c r="F104" t="str">
        <f>'8.Commercial Excellence'!F18</f>
        <v>Higher the better</v>
      </c>
      <c r="G104" t="str">
        <f>'8.Commercial Excellence'!G18</f>
        <v>Quarterly</v>
      </c>
      <c r="H104" t="str">
        <f>IF('8.Commercial Excellence'!H19="","",'8.Commercial Excellence'!H19)</f>
        <v>Actual</v>
      </c>
      <c r="I104" t="str">
        <f>IF('8.Commercial Excellence'!I19="","",'8.Commercial Excellence'!I19)</f>
        <v/>
      </c>
      <c r="J104" t="str">
        <f>IF('8.Commercial Excellence'!J19="","",'8.Commercial Excellence'!J19)</f>
        <v/>
      </c>
      <c r="K104" t="str">
        <f>IF('8.Commercial Excellence'!K19="","",'8.Commercial Excellence'!K19)</f>
        <v/>
      </c>
      <c r="L104" t="str">
        <f>IF('8.Commercial Excellence'!L19="","",'8.Commercial Excellence'!L19)</f>
        <v/>
      </c>
      <c r="M104" t="str">
        <f>IF('8.Commercial Excellence'!M19="","",'8.Commercial Excellence'!M19)</f>
        <v/>
      </c>
      <c r="N104" t="str">
        <f>IF('8.Commercial Excellence'!N19="","",'8.Commercial Excellence'!N19)</f>
        <v/>
      </c>
      <c r="O104" t="str">
        <f>IF('8.Commercial Excellence'!O19="","",'8.Commercial Excellence'!O19)</f>
        <v/>
      </c>
      <c r="P104" t="str">
        <f>IF('8.Commercial Excellence'!P19="","",'8.Commercial Excellence'!P19)</f>
        <v/>
      </c>
      <c r="Q104" t="str">
        <f>IF('8.Commercial Excellence'!Q19="","",'8.Commercial Excellence'!Q19)</f>
        <v/>
      </c>
      <c r="R104" t="str">
        <f>IF('8.Commercial Excellence'!R19="","",'8.Commercial Excellence'!R19)</f>
        <v/>
      </c>
      <c r="S104" t="str">
        <f>IF('8.Commercial Excellence'!S19="","",'8.Commercial Excellence'!S19)</f>
        <v/>
      </c>
      <c r="T104" t="str">
        <f>IF('8.Commercial Excellence'!T19="","",'8.Commercial Excellence'!T19)</f>
        <v/>
      </c>
    </row>
    <row r="105" spans="1:20">
      <c r="A105" t="str">
        <f>'8.Commercial Excellence'!A20</f>
        <v>Demo Win rate</v>
      </c>
      <c r="B105" t="str">
        <f>'8.Commercial Excellence'!B20</f>
        <v>ITM Demo Winrate</v>
      </c>
      <c r="C105" t="str">
        <f>'8.Commercial Excellence'!C20</f>
        <v>&gt;=</v>
      </c>
      <c r="D105">
        <f>'8.Commercial Excellence'!D20</f>
        <v>0.6</v>
      </c>
      <c r="E105" t="str">
        <f>'8.Commercial Excellence'!E20</f>
        <v>%</v>
      </c>
      <c r="F105" t="str">
        <f>'8.Commercial Excellence'!F20</f>
        <v>Higher the better</v>
      </c>
      <c r="G105" t="str">
        <f>'8.Commercial Excellence'!G20</f>
        <v>Monthly</v>
      </c>
      <c r="H105" t="str">
        <f>IF('8.Commercial Excellence'!H20="","",'8.Commercial Excellence'!H20)</f>
        <v>Target</v>
      </c>
      <c r="I105" s="264">
        <f>IF('8.Commercial Excellence'!I20="","",'8.Commercial Excellence'!I20)</f>
        <v>0.6</v>
      </c>
      <c r="J105" s="264">
        <f>IF('8.Commercial Excellence'!J20="","",'8.Commercial Excellence'!J20)</f>
        <v>0.6</v>
      </c>
      <c r="K105" s="264">
        <f>IF('8.Commercial Excellence'!K20="","",'8.Commercial Excellence'!K20)</f>
        <v>0.6</v>
      </c>
      <c r="L105" s="264" t="str">
        <f>IF('8.Commercial Excellence'!L20="","",'8.Commercial Excellence'!L20)</f>
        <v/>
      </c>
      <c r="M105" s="264" t="str">
        <f>IF('8.Commercial Excellence'!M20="","",'8.Commercial Excellence'!M20)</f>
        <v/>
      </c>
      <c r="N105" s="264" t="str">
        <f>IF('8.Commercial Excellence'!N20="","",'8.Commercial Excellence'!N20)</f>
        <v/>
      </c>
      <c r="O105" s="264" t="str">
        <f>IF('8.Commercial Excellence'!O20="","",'8.Commercial Excellence'!O20)</f>
        <v/>
      </c>
      <c r="P105" s="264" t="str">
        <f>IF('8.Commercial Excellence'!P20="","",'8.Commercial Excellence'!P20)</f>
        <v/>
      </c>
      <c r="Q105" s="264" t="str">
        <f>IF('8.Commercial Excellence'!Q20="","",'8.Commercial Excellence'!Q20)</f>
        <v/>
      </c>
      <c r="R105" s="264" t="str">
        <f>IF('8.Commercial Excellence'!R20="","",'8.Commercial Excellence'!R20)</f>
        <v/>
      </c>
      <c r="S105" s="264" t="str">
        <f>IF('8.Commercial Excellence'!S20="","",'8.Commercial Excellence'!S20)</f>
        <v/>
      </c>
      <c r="T105" s="264" t="str">
        <f>IF('8.Commercial Excellence'!T20="","",'8.Commercial Excellence'!T20)</f>
        <v/>
      </c>
    </row>
    <row r="106" spans="1:20">
      <c r="A106" t="str">
        <f>'8.Commercial Excellence'!A20</f>
        <v>Demo Win rate</v>
      </c>
      <c r="B106" t="str">
        <f>'8.Commercial Excellence'!B20</f>
        <v>ITM Demo Winrate</v>
      </c>
      <c r="C106" t="str">
        <f>'8.Commercial Excellence'!C20</f>
        <v>&gt;=</v>
      </c>
      <c r="D106">
        <f>'8.Commercial Excellence'!D20</f>
        <v>0.6</v>
      </c>
      <c r="E106" t="str">
        <f>'8.Commercial Excellence'!E20</f>
        <v>%</v>
      </c>
      <c r="F106" t="str">
        <f>'8.Commercial Excellence'!F20</f>
        <v>Higher the better</v>
      </c>
      <c r="G106" t="str">
        <f>'8.Commercial Excellence'!G20</f>
        <v>Monthly</v>
      </c>
      <c r="H106" t="str">
        <f>IF('8.Commercial Excellence'!H21="","",'8.Commercial Excellence'!H21)</f>
        <v>Actual</v>
      </c>
      <c r="I106" s="264">
        <f>IF('8.Commercial Excellence'!I21="","",'8.Commercial Excellence'!I21)</f>
        <v>0.6</v>
      </c>
      <c r="J106" s="264">
        <f>IF('8.Commercial Excellence'!J21="","",'8.Commercial Excellence'!J21)</f>
        <v>0.56000000000000005</v>
      </c>
      <c r="K106" s="264">
        <f>IF('8.Commercial Excellence'!K21="","",'8.Commercial Excellence'!K21)</f>
        <v>0.57999999999999996</v>
      </c>
      <c r="L106" s="264" t="str">
        <f>IF('8.Commercial Excellence'!L21="","",'8.Commercial Excellence'!L21)</f>
        <v/>
      </c>
      <c r="M106" s="264" t="str">
        <f>IF('8.Commercial Excellence'!M21="","",'8.Commercial Excellence'!M21)</f>
        <v/>
      </c>
      <c r="N106" s="264" t="str">
        <f>IF('8.Commercial Excellence'!N21="","",'8.Commercial Excellence'!N21)</f>
        <v/>
      </c>
      <c r="O106" s="264" t="str">
        <f>IF('8.Commercial Excellence'!O21="","",'8.Commercial Excellence'!O21)</f>
        <v/>
      </c>
      <c r="P106" s="264" t="str">
        <f>IF('8.Commercial Excellence'!P21="","",'8.Commercial Excellence'!P21)</f>
        <v/>
      </c>
      <c r="Q106" s="264" t="str">
        <f>IF('8.Commercial Excellence'!Q21="","",'8.Commercial Excellence'!Q21)</f>
        <v/>
      </c>
      <c r="R106" s="264" t="str">
        <f>IF('8.Commercial Excellence'!R21="","",'8.Commercial Excellence'!R21)</f>
        <v/>
      </c>
      <c r="S106" s="264" t="str">
        <f>IF('8.Commercial Excellence'!S21="","",'8.Commercial Excellence'!S21)</f>
        <v/>
      </c>
      <c r="T106" s="264" t="str">
        <f>IF('8.Commercial Excellence'!T21="","",'8.Commercial Excellence'!T21)</f>
        <v/>
      </c>
    </row>
    <row r="107" spans="1:20">
      <c r="A107" t="str">
        <f>'8.Commercial Excellence'!A22</f>
        <v># of Demos</v>
      </c>
      <c r="B107" t="str">
        <f>'8.Commercial Excellence'!B22</f>
        <v>Number of Demos per Month</v>
      </c>
      <c r="C107" t="str">
        <f>'8.Commercial Excellence'!C22</f>
        <v>&gt;=</v>
      </c>
      <c r="D107">
        <f>'8.Commercial Excellence'!D22</f>
        <v>596</v>
      </c>
      <c r="E107" t="str">
        <f>'8.Commercial Excellence'!E22</f>
        <v>No.</v>
      </c>
      <c r="F107" t="str">
        <f>'8.Commercial Excellence'!F22</f>
        <v>Higher the better</v>
      </c>
      <c r="G107" t="str">
        <f>'8.Commercial Excellence'!G22</f>
        <v>Monthly</v>
      </c>
      <c r="H107" t="str">
        <f>IF('8.Commercial Excellence'!H22="","",'8.Commercial Excellence'!H22)</f>
        <v>Target</v>
      </c>
      <c r="I107">
        <f>IF('8.Commercial Excellence'!I22="","",'8.Commercial Excellence'!I22)</f>
        <v>28</v>
      </c>
      <c r="J107">
        <f>IF('8.Commercial Excellence'!J22="","",'8.Commercial Excellence'!J22)</f>
        <v>35</v>
      </c>
      <c r="K107">
        <f>IF('8.Commercial Excellence'!K22="","",'8.Commercial Excellence'!K22)</f>
        <v>52</v>
      </c>
      <c r="L107">
        <f>IF('8.Commercial Excellence'!L22="","",'8.Commercial Excellence'!L22)</f>
        <v>39</v>
      </c>
      <c r="M107">
        <f>IF('8.Commercial Excellence'!M22="","",'8.Commercial Excellence'!M22)</f>
        <v>44</v>
      </c>
      <c r="N107">
        <f>IF('8.Commercial Excellence'!N22="","",'8.Commercial Excellence'!N22)</f>
        <v>64</v>
      </c>
      <c r="O107">
        <f>IF('8.Commercial Excellence'!O22="","",'8.Commercial Excellence'!O22)</f>
        <v>37</v>
      </c>
      <c r="P107">
        <f>IF('8.Commercial Excellence'!P22="","",'8.Commercial Excellence'!P22)</f>
        <v>49</v>
      </c>
      <c r="Q107">
        <f>IF('8.Commercial Excellence'!Q22="","",'8.Commercial Excellence'!Q22)</f>
        <v>68</v>
      </c>
      <c r="R107">
        <f>IF('8.Commercial Excellence'!R22="","",'8.Commercial Excellence'!R22)</f>
        <v>46</v>
      </c>
      <c r="S107">
        <f>IF('8.Commercial Excellence'!S22="","",'8.Commercial Excellence'!S22)</f>
        <v>65</v>
      </c>
      <c r="T107">
        <f>IF('8.Commercial Excellence'!T22="","",'8.Commercial Excellence'!T22)</f>
        <v>69</v>
      </c>
    </row>
    <row r="108" spans="1:20">
      <c r="A108" t="str">
        <f>'8.Commercial Excellence'!A22</f>
        <v># of Demos</v>
      </c>
      <c r="B108" t="str">
        <f>'8.Commercial Excellence'!B22</f>
        <v>Number of Demos per Month</v>
      </c>
      <c r="C108" t="str">
        <f>'8.Commercial Excellence'!C22</f>
        <v>&gt;=</v>
      </c>
      <c r="D108">
        <f>'8.Commercial Excellence'!D22</f>
        <v>596</v>
      </c>
      <c r="E108" t="str">
        <f>'8.Commercial Excellence'!E22</f>
        <v>No.</v>
      </c>
      <c r="F108" t="str">
        <f>'8.Commercial Excellence'!F22</f>
        <v>Higher the better</v>
      </c>
      <c r="G108" t="str">
        <f>'8.Commercial Excellence'!G22</f>
        <v>Monthly</v>
      </c>
      <c r="H108" t="str">
        <f>IF('8.Commercial Excellence'!H23="","",'8.Commercial Excellence'!H23)</f>
        <v>Actual</v>
      </c>
      <c r="I108">
        <f>IF('8.Commercial Excellence'!I23="","",'8.Commercial Excellence'!I23)</f>
        <v>20</v>
      </c>
      <c r="J108">
        <f>IF('8.Commercial Excellence'!J23="","",'8.Commercial Excellence'!J23)</f>
        <v>25</v>
      </c>
      <c r="K108">
        <f>IF('8.Commercial Excellence'!K23="","",'8.Commercial Excellence'!K23)</f>
        <v>43</v>
      </c>
      <c r="L108" t="str">
        <f>IF('8.Commercial Excellence'!L23="","",'8.Commercial Excellence'!L23)</f>
        <v/>
      </c>
      <c r="M108" t="str">
        <f>IF('8.Commercial Excellence'!M23="","",'8.Commercial Excellence'!M23)</f>
        <v/>
      </c>
      <c r="N108" t="str">
        <f>IF('8.Commercial Excellence'!N23="","",'8.Commercial Excellence'!N23)</f>
        <v/>
      </c>
      <c r="O108" t="str">
        <f>IF('8.Commercial Excellence'!O23="","",'8.Commercial Excellence'!O23)</f>
        <v/>
      </c>
      <c r="P108" t="str">
        <f>IF('8.Commercial Excellence'!P23="","",'8.Commercial Excellence'!P23)</f>
        <v/>
      </c>
      <c r="Q108" t="str">
        <f>IF('8.Commercial Excellence'!Q23="","",'8.Commercial Excellence'!Q23)</f>
        <v/>
      </c>
      <c r="R108" t="str">
        <f>IF('8.Commercial Excellence'!R23="","",'8.Commercial Excellence'!R23)</f>
        <v/>
      </c>
      <c r="S108" t="str">
        <f>IF('8.Commercial Excellence'!S23="","",'8.Commercial Excellence'!S23)</f>
        <v/>
      </c>
      <c r="T108" t="str">
        <f>IF('8.Commercial Excellence'!T23="","",'8.Commercial Excellence'!T23)</f>
        <v/>
      </c>
    </row>
    <row r="109" spans="1:20">
      <c r="A109" s="13"/>
    </row>
    <row r="110" spans="1:20">
      <c r="A110" s="13" t="s">
        <v>83</v>
      </c>
    </row>
    <row r="111" spans="1:20">
      <c r="A111" t="s">
        <v>58</v>
      </c>
      <c r="B111" t="s">
        <v>59</v>
      </c>
      <c r="C111" t="s">
        <v>5</v>
      </c>
      <c r="D111" t="s">
        <v>60</v>
      </c>
      <c r="E111" t="s">
        <v>7</v>
      </c>
      <c r="F111" t="s">
        <v>61</v>
      </c>
      <c r="G111" t="s">
        <v>9</v>
      </c>
      <c r="H111" t="s">
        <v>62</v>
      </c>
      <c r="I111" s="261" t="s">
        <v>63</v>
      </c>
      <c r="J111" s="261" t="s">
        <v>64</v>
      </c>
      <c r="K111" s="261" t="s">
        <v>65</v>
      </c>
      <c r="L111" s="261" t="s">
        <v>66</v>
      </c>
      <c r="M111" s="261" t="s">
        <v>67</v>
      </c>
      <c r="N111" s="261" t="s">
        <v>68</v>
      </c>
      <c r="O111" s="261" t="s">
        <v>69</v>
      </c>
      <c r="P111" s="261" t="s">
        <v>70</v>
      </c>
      <c r="Q111" s="261" t="s">
        <v>71</v>
      </c>
      <c r="R111" s="261" t="s">
        <v>72</v>
      </c>
      <c r="S111" s="261" t="s">
        <v>73</v>
      </c>
      <c r="T111" s="262" t="s">
        <v>74</v>
      </c>
    </row>
    <row r="112" spans="1:20" ht="15" customHeight="1">
      <c r="A112" t="str">
        <f>'9.NAR '!A14</f>
        <v>Funnel Coverage</v>
      </c>
      <c r="B112" t="str">
        <f>'9.NAR '!B14</f>
        <v>Funnel Sufficiency</v>
      </c>
      <c r="C112" t="str">
        <f>'9.NAR '!C14</f>
        <v>&gt;=</v>
      </c>
      <c r="D112" t="str">
        <f>'9.NAR '!D14</f>
        <v>3x Funnel Qualify to OP</v>
      </c>
      <c r="E112" t="str">
        <f>'9.NAR '!E14</f>
        <v>No.</v>
      </c>
      <c r="F112" t="str">
        <f>'9.NAR '!F14</f>
        <v>Higher the better</v>
      </c>
      <c r="G112" t="str">
        <f>'9.NAR '!G14</f>
        <v>Monthly</v>
      </c>
      <c r="H112" t="str">
        <f>IF('9.NAR '!H14="","",'9.NAR '!H14)</f>
        <v>Target</v>
      </c>
      <c r="I112">
        <f>IF('9.NAR '!I14="","",'9.NAR '!I14)</f>
        <v>7.2</v>
      </c>
      <c r="J112">
        <f>IF('9.NAR '!J14="","",'9.NAR '!J14)</f>
        <v>7.2</v>
      </c>
      <c r="K112">
        <f>IF('9.NAR '!K14="","",'9.NAR '!K14)</f>
        <v>9.6</v>
      </c>
      <c r="L112">
        <f>IF('9.NAR '!L14="","",'9.NAR '!L14)</f>
        <v>7.2</v>
      </c>
      <c r="M112">
        <f>IF('9.NAR '!M14="","",'9.NAR '!M14)</f>
        <v>7.2</v>
      </c>
      <c r="N112">
        <f>IF('9.NAR '!N14="","",'9.NAR '!N14)</f>
        <v>9.6</v>
      </c>
      <c r="O112">
        <f>IF('9.NAR '!O14="","",'9.NAR '!O14)</f>
        <v>8.4</v>
      </c>
      <c r="P112">
        <f>IF('9.NAR '!P14="","",'9.NAR '!P14)</f>
        <v>8.4</v>
      </c>
      <c r="Q112">
        <f>IF('9.NAR '!Q14="","",'9.NAR '!Q14)</f>
        <v>16.8</v>
      </c>
      <c r="R112">
        <f>IF('9.NAR '!R14="","",'9.NAR '!R14)</f>
        <v>11.1</v>
      </c>
      <c r="S112">
        <f>IF('9.NAR '!S14="","",'9.NAR '!S14)</f>
        <v>12.3</v>
      </c>
      <c r="T112">
        <f>IF('9.NAR '!T14="","",'9.NAR '!T14)</f>
        <v>12.6</v>
      </c>
    </row>
    <row r="113" spans="1:20">
      <c r="A113" t="str">
        <f>'9.NAR '!A14</f>
        <v>Funnel Coverage</v>
      </c>
      <c r="B113" t="str">
        <f>'9.NAR '!B14</f>
        <v>Funnel Sufficiency</v>
      </c>
      <c r="C113" t="str">
        <f>'9.NAR '!C14</f>
        <v>&gt;=</v>
      </c>
      <c r="D113" t="str">
        <f>'9.NAR '!D14</f>
        <v>3x Funnel Qualify to OP</v>
      </c>
      <c r="E113" t="str">
        <f>'9.NAR '!E14</f>
        <v>No.</v>
      </c>
      <c r="F113" t="str">
        <f>'9.NAR '!F14</f>
        <v>Higher the better</v>
      </c>
      <c r="G113" t="str">
        <f>'9.NAR '!G14</f>
        <v>Monthly</v>
      </c>
      <c r="H113" t="str">
        <f>IF('9.NAR '!H15="","",'9.NAR '!H15)</f>
        <v>Actual</v>
      </c>
      <c r="I113">
        <f>IF('9.NAR '!I15="","",'9.NAR '!I15)</f>
        <v>7.4</v>
      </c>
      <c r="J113">
        <f>IF('9.NAR '!J15="","",'9.NAR '!J15)</f>
        <v>7.1</v>
      </c>
      <c r="K113">
        <f>IF('9.NAR '!K15="","",'9.NAR '!K15)</f>
        <v>10</v>
      </c>
      <c r="L113">
        <f>IF('9.NAR '!L15="","",'9.NAR '!L15)</f>
        <v>9.81</v>
      </c>
      <c r="M113">
        <f>IF('9.NAR '!M15="","",'9.NAR '!M15)</f>
        <v>12.3</v>
      </c>
      <c r="N113">
        <f>IF('9.NAR '!N15="","",'9.NAR '!N15)</f>
        <v>7.7</v>
      </c>
      <c r="O113">
        <f>IF('9.NAR '!O15="","",'9.NAR '!O15)</f>
        <v>9.8000000000000007</v>
      </c>
      <c r="P113">
        <f>IF('9.NAR '!P15="","",'9.NAR '!P15)</f>
        <v>5.2</v>
      </c>
      <c r="Q113" t="str">
        <f>IF('9.NAR '!Q15="","",'9.NAR '!Q15)</f>
        <v/>
      </c>
      <c r="R113" t="str">
        <f>IF('9.NAR '!R15="","",'9.NAR '!R15)</f>
        <v/>
      </c>
      <c r="S113" t="str">
        <f>IF('9.NAR '!S15="","",'9.NAR '!S15)</f>
        <v/>
      </c>
      <c r="T113" t="str">
        <f>IF('9.NAR '!T15="","",'9.NAR '!T15)</f>
        <v/>
      </c>
    </row>
    <row r="114" spans="1:20">
      <c r="A114" t="str">
        <f>'9.NAR '!A16</f>
        <v># Of Demos</v>
      </c>
      <c r="B114" t="str">
        <f>'9.NAR '!B16</f>
        <v>Qtrly Phasing: Q1 20%, Q2 25%, Q3 25%, Q4 30%</v>
      </c>
      <c r="C114" t="str">
        <f>'9.NAR '!C16</f>
        <v>&gt;=</v>
      </c>
      <c r="D114">
        <f>'9.NAR '!D16</f>
        <v>125</v>
      </c>
      <c r="E114" t="str">
        <f>'9.NAR '!E16</f>
        <v>No.</v>
      </c>
      <c r="F114" t="str">
        <f>'9.NAR '!F16</f>
        <v>Higher the better</v>
      </c>
      <c r="G114" t="str">
        <f>'9.NAR '!G16</f>
        <v>Monthly</v>
      </c>
      <c r="H114" t="str">
        <f>IF('9.NAR '!H16="","",'9.NAR '!H16)</f>
        <v>Target</v>
      </c>
      <c r="I114">
        <f>IF('9.NAR '!I16="","",'9.NAR '!I16)</f>
        <v>7</v>
      </c>
      <c r="J114">
        <f>IF('9.NAR '!J16="","",'9.NAR '!J16)</f>
        <v>8</v>
      </c>
      <c r="K114">
        <f>IF('9.NAR '!K16="","",'9.NAR '!K16)</f>
        <v>10</v>
      </c>
      <c r="L114">
        <f>IF('9.NAR '!L16="","",'9.NAR '!L16)</f>
        <v>9</v>
      </c>
      <c r="M114">
        <f>IF('9.NAR '!M16="","",'9.NAR '!M16)</f>
        <v>10</v>
      </c>
      <c r="N114">
        <f>IF('9.NAR '!N16="","",'9.NAR '!N16)</f>
        <v>12</v>
      </c>
      <c r="O114">
        <f>IF('9.NAR '!O16="","",'9.NAR '!O16)</f>
        <v>9</v>
      </c>
      <c r="P114">
        <f>IF('9.NAR '!P16="","",'9.NAR '!P16)</f>
        <v>10</v>
      </c>
      <c r="Q114">
        <f>IF('9.NAR '!Q16="","",'9.NAR '!Q16)</f>
        <v>12</v>
      </c>
      <c r="R114">
        <f>IF('9.NAR '!R16="","",'9.NAR '!R16)</f>
        <v>11</v>
      </c>
      <c r="S114">
        <f>IF('9.NAR '!S16="","",'9.NAR '!S16)</f>
        <v>13</v>
      </c>
      <c r="T114">
        <f>IF('9.NAR '!T16="","",'9.NAR '!T16)</f>
        <v>14</v>
      </c>
    </row>
    <row r="115" spans="1:20">
      <c r="A115" t="str">
        <f>'9.NAR '!A16</f>
        <v># Of Demos</v>
      </c>
      <c r="B115" t="str">
        <f>'9.NAR '!B16</f>
        <v>Qtrly Phasing: Q1 20%, Q2 25%, Q3 25%, Q4 30%</v>
      </c>
      <c r="C115" t="str">
        <f>'9.NAR '!C16</f>
        <v>&gt;=</v>
      </c>
      <c r="D115">
        <f>'9.NAR '!D16</f>
        <v>125</v>
      </c>
      <c r="E115" t="str">
        <f>'9.NAR '!E16</f>
        <v>No.</v>
      </c>
      <c r="F115" t="str">
        <f>'9.NAR '!F16</f>
        <v>Higher the better</v>
      </c>
      <c r="G115" t="str">
        <f>'9.NAR '!G16</f>
        <v>Monthly</v>
      </c>
      <c r="H115" t="str">
        <f>IF('9.NAR '!H17="","",'9.NAR '!H17)</f>
        <v>Actual</v>
      </c>
      <c r="I115">
        <f>IF('9.NAR '!I17="","",'9.NAR '!I17)</f>
        <v>10</v>
      </c>
      <c r="J115">
        <f>IF('9.NAR '!J17="","",'9.NAR '!J17)</f>
        <v>9</v>
      </c>
      <c r="K115">
        <f>IF('9.NAR '!K17="","",'9.NAR '!K17)</f>
        <v>6</v>
      </c>
      <c r="L115">
        <f>IF('9.NAR '!L17="","",'9.NAR '!L17)</f>
        <v>7.5</v>
      </c>
      <c r="M115">
        <f>IF('9.NAR '!M17="","",'9.NAR '!M17)</f>
        <v>8</v>
      </c>
      <c r="N115">
        <f>IF('9.NAR '!N17="","",'9.NAR '!N17)</f>
        <v>11</v>
      </c>
      <c r="O115">
        <f>IF('9.NAR '!O17="","",'9.NAR '!O17)</f>
        <v>10</v>
      </c>
      <c r="P115" t="str">
        <f>IF('9.NAR '!P17="","",'9.NAR '!P17)</f>
        <v/>
      </c>
      <c r="Q115" t="str">
        <f>IF('9.NAR '!Q17="","",'9.NAR '!Q17)</f>
        <v/>
      </c>
      <c r="R115" t="str">
        <f>IF('9.NAR '!R17="","",'9.NAR '!R17)</f>
        <v/>
      </c>
      <c r="S115" t="str">
        <f>IF('9.NAR '!S17="","",'9.NAR '!S17)</f>
        <v/>
      </c>
      <c r="T115" t="str">
        <f>IF('9.NAR '!T17="","",'9.NAR '!T17)</f>
        <v/>
      </c>
    </row>
    <row r="116" spans="1:20">
      <c r="A116" t="str">
        <f>'9.NAR '!A18</f>
        <v>Demo Winrate</v>
      </c>
      <c r="B116" t="str">
        <f>'9.NAR '!B18</f>
        <v>ITM Demo Winrate</v>
      </c>
      <c r="C116" t="str">
        <f>'9.NAR '!C18</f>
        <v>&gt;=</v>
      </c>
      <c r="D116">
        <f>'9.NAR '!D18</f>
        <v>0.5</v>
      </c>
      <c r="E116" t="str">
        <f>'9.NAR '!E18</f>
        <v>%</v>
      </c>
      <c r="F116" t="str">
        <f>'9.NAR '!F18</f>
        <v>Higher the better</v>
      </c>
      <c r="G116" t="str">
        <f>'9.NAR '!G18</f>
        <v>Monthly</v>
      </c>
      <c r="H116" t="str">
        <f>IF('9.NAR '!H18="","",'9.NAR '!H18)</f>
        <v>Target</v>
      </c>
      <c r="I116">
        <f>IF('9.NAR '!I18="","",'9.NAR '!I18)</f>
        <v>50</v>
      </c>
      <c r="J116">
        <f>IF('9.NAR '!J18="","",'9.NAR '!J18)</f>
        <v>50</v>
      </c>
      <c r="K116">
        <f>IF('9.NAR '!K18="","",'9.NAR '!K18)</f>
        <v>50</v>
      </c>
      <c r="L116">
        <f>IF('9.NAR '!L18="","",'9.NAR '!L18)</f>
        <v>50</v>
      </c>
      <c r="M116">
        <f>IF('9.NAR '!M18="","",'9.NAR '!M18)</f>
        <v>50</v>
      </c>
      <c r="N116">
        <f>IF('9.NAR '!N18="","",'9.NAR '!N18)</f>
        <v>50</v>
      </c>
      <c r="O116">
        <f>IF('9.NAR '!O18="","",'9.NAR '!O18)</f>
        <v>50</v>
      </c>
      <c r="P116">
        <f>IF('9.NAR '!P18="","",'9.NAR '!P18)</f>
        <v>50</v>
      </c>
      <c r="Q116">
        <f>IF('9.NAR '!Q18="","",'9.NAR '!Q18)</f>
        <v>50</v>
      </c>
      <c r="R116">
        <f>IF('9.NAR '!R18="","",'9.NAR '!R18)</f>
        <v>50</v>
      </c>
      <c r="S116">
        <f>IF('9.NAR '!S18="","",'9.NAR '!S18)</f>
        <v>50</v>
      </c>
      <c r="T116">
        <f>IF('9.NAR '!T18="","",'9.NAR '!T18)</f>
        <v>50</v>
      </c>
    </row>
    <row r="117" spans="1:20">
      <c r="A117" t="str">
        <f>'9.NAR '!A18</f>
        <v>Demo Winrate</v>
      </c>
      <c r="B117" t="str">
        <f>'9.NAR '!B18</f>
        <v>ITM Demo Winrate</v>
      </c>
      <c r="C117" t="str">
        <f>'9.NAR '!C18</f>
        <v>&gt;=</v>
      </c>
      <c r="D117">
        <f>'9.NAR '!D18</f>
        <v>0.5</v>
      </c>
      <c r="E117" t="str">
        <f>'9.NAR '!E18</f>
        <v>%</v>
      </c>
      <c r="F117" t="str">
        <f>'9.NAR '!F18</f>
        <v>Higher the better</v>
      </c>
      <c r="G117" t="str">
        <f>'9.NAR '!G18</f>
        <v>Monthly</v>
      </c>
      <c r="H117" t="str">
        <f>IF('9.NAR '!H19="","",'9.NAR '!H19)</f>
        <v>Actual</v>
      </c>
      <c r="I117">
        <f>IF('9.NAR '!I19="","",'9.NAR '!I19)</f>
        <v>85.7</v>
      </c>
      <c r="J117">
        <f>IF('9.NAR '!J19="","",'9.NAR '!J19)</f>
        <v>61.5</v>
      </c>
      <c r="K117">
        <f>IF('9.NAR '!K19="","",'9.NAR '!K19)</f>
        <v>50</v>
      </c>
      <c r="L117">
        <f>IF('9.NAR '!L19="","",'9.NAR '!L19)</f>
        <v>38.5</v>
      </c>
      <c r="M117">
        <f>IF('9.NAR '!M19="","",'9.NAR '!M19)</f>
        <v>85.7</v>
      </c>
      <c r="N117">
        <f>IF('9.NAR '!N19="","",'9.NAR '!N19)</f>
        <v>42.9</v>
      </c>
      <c r="O117">
        <f>IF('9.NAR '!O19="","",'9.NAR '!O19)</f>
        <v>100</v>
      </c>
      <c r="P117" t="str">
        <f>IF('9.NAR '!P19="","",'9.NAR '!P19)</f>
        <v/>
      </c>
      <c r="Q117" t="str">
        <f>IF('9.NAR '!Q19="","",'9.NAR '!Q19)</f>
        <v/>
      </c>
      <c r="R117" t="str">
        <f>IF('9.NAR '!R19="","",'9.NAR '!R19)</f>
        <v/>
      </c>
      <c r="S117" t="str">
        <f>IF('9.NAR '!S19="","",'9.NAR '!S19)</f>
        <v/>
      </c>
      <c r="T117" t="str">
        <f>IF('9.NAR '!T19="","",'9.NAR '!T19)</f>
        <v/>
      </c>
    </row>
    <row r="118" spans="1:20">
      <c r="A118" t="str">
        <f>'9.NAR '!A20</f>
        <v>Visiblity</v>
      </c>
      <c r="B118" t="str">
        <f>'9.NAR '!B20</f>
        <v>OIT+Lost+ NP / Market Size</v>
      </c>
      <c r="C118" t="str">
        <f>'9.NAR '!C20</f>
        <v>&gt;=</v>
      </c>
      <c r="D118">
        <f>'9.NAR '!D20</f>
        <v>0.26</v>
      </c>
      <c r="E118" t="str">
        <f>'9.NAR '!E20</f>
        <v>%</v>
      </c>
      <c r="F118" t="str">
        <f>'9.NAR '!F20</f>
        <v>Higher the better</v>
      </c>
      <c r="G118" t="str">
        <f>'9.NAR '!G20</f>
        <v>Quarterly</v>
      </c>
      <c r="H118" t="str">
        <f>IF('9.NAR '!H20="","",'9.NAR '!H20)</f>
        <v>Target</v>
      </c>
      <c r="I118">
        <f>IF('9.NAR '!I20="","",'9.NAR '!I20)</f>
        <v>26</v>
      </c>
      <c r="J118">
        <f>IF('9.NAR '!J20="","",'9.NAR '!J20)</f>
        <v>26</v>
      </c>
      <c r="K118">
        <f>IF('9.NAR '!K20="","",'9.NAR '!K20)</f>
        <v>26</v>
      </c>
      <c r="L118">
        <f>IF('9.NAR '!L20="","",'9.NAR '!L20)</f>
        <v>26</v>
      </c>
      <c r="M118">
        <f>IF('9.NAR '!M20="","",'9.NAR '!M20)</f>
        <v>26</v>
      </c>
      <c r="N118">
        <f>IF('9.NAR '!N20="","",'9.NAR '!N20)</f>
        <v>26</v>
      </c>
      <c r="O118">
        <f>IF('9.NAR '!O20="","",'9.NAR '!O20)</f>
        <v>26</v>
      </c>
      <c r="P118">
        <f>IF('9.NAR '!P20="","",'9.NAR '!P20)</f>
        <v>26</v>
      </c>
      <c r="Q118">
        <f>IF('9.NAR '!Q20="","",'9.NAR '!Q20)</f>
        <v>26</v>
      </c>
      <c r="R118">
        <f>IF('9.NAR '!R20="","",'9.NAR '!R20)</f>
        <v>26</v>
      </c>
      <c r="S118">
        <f>IF('9.NAR '!S20="","",'9.NAR '!S20)</f>
        <v>26</v>
      </c>
      <c r="T118">
        <f>IF('9.NAR '!T20="","",'9.NAR '!T20)</f>
        <v>26</v>
      </c>
    </row>
    <row r="119" spans="1:20">
      <c r="A119" t="str">
        <f>'9.NAR '!A20</f>
        <v>Visiblity</v>
      </c>
      <c r="B119" t="str">
        <f>'9.NAR '!B20</f>
        <v>OIT+Lost+ NP / Market Size</v>
      </c>
      <c r="C119" t="str">
        <f>'9.NAR '!C20</f>
        <v>&gt;=</v>
      </c>
      <c r="D119">
        <f>'9.NAR '!D20</f>
        <v>0.26</v>
      </c>
      <c r="E119" t="str">
        <f>'9.NAR '!E20</f>
        <v>%</v>
      </c>
      <c r="F119" t="str">
        <f>'9.NAR '!F20</f>
        <v>Higher the better</v>
      </c>
      <c r="G119" t="str">
        <f>'9.NAR '!G20</f>
        <v>Quarterly</v>
      </c>
      <c r="H119" t="str">
        <f>IF('9.NAR '!H21="","",'9.NAR '!H21)</f>
        <v>Actual</v>
      </c>
      <c r="I119">
        <f>IF('9.NAR '!I21="","",'9.NAR '!I21)</f>
        <v>17.8</v>
      </c>
      <c r="J119">
        <f>IF('9.NAR '!J21="","",'9.NAR '!J21)</f>
        <v>17.8</v>
      </c>
      <c r="K119">
        <f>IF('9.NAR '!K21="","",'9.NAR '!K21)</f>
        <v>17.8</v>
      </c>
      <c r="L119" t="str">
        <f>IF('9.NAR '!L21="","",'9.NAR '!L21)</f>
        <v/>
      </c>
      <c r="M119" t="str">
        <f>IF('9.NAR '!M21="","",'9.NAR '!M21)</f>
        <v/>
      </c>
      <c r="N119" t="str">
        <f>IF('9.NAR '!N21="","",'9.NAR '!N21)</f>
        <v/>
      </c>
      <c r="O119" t="str">
        <f>IF('9.NAR '!O21="","",'9.NAR '!O21)</f>
        <v/>
      </c>
      <c r="P119" t="str">
        <f>IF('9.NAR '!P21="","",'9.NAR '!P21)</f>
        <v/>
      </c>
      <c r="Q119" t="str">
        <f>IF('9.NAR '!Q21="","",'9.NAR '!Q21)</f>
        <v/>
      </c>
      <c r="R119" t="str">
        <f>IF('9.NAR '!R21="","",'9.NAR '!R21)</f>
        <v/>
      </c>
      <c r="S119" t="str">
        <f>IF('9.NAR '!S21="","",'9.NAR '!S21)</f>
        <v/>
      </c>
      <c r="T119" t="str">
        <f>IF('9.NAR '!T21="","",'9.NAR '!T21)</f>
        <v/>
      </c>
    </row>
    <row r="120" spans="1:20" ht="15" customHeight="1">
      <c r="A120" t="str">
        <f>'9.NAR '!A22</f>
        <v>IB Winrate (Competition)</v>
      </c>
      <c r="B120" t="str">
        <f>'9.NAR '!B22</f>
        <v>Competition IB Winrate(Philips Opptys won/ Total Opps )</v>
      </c>
      <c r="C120" t="str">
        <f>'9.NAR '!C22</f>
        <v>&gt;=</v>
      </c>
      <c r="D120">
        <f>'9.NAR '!D22</f>
        <v>0.28000000000000003</v>
      </c>
      <c r="E120" t="str">
        <f>'9.NAR '!E22</f>
        <v>%</v>
      </c>
      <c r="F120" t="str">
        <f>'9.NAR '!F22</f>
        <v>Higher the better</v>
      </c>
      <c r="G120" t="str">
        <f>'9.NAR '!G22</f>
        <v>Monthly</v>
      </c>
      <c r="H120" t="str">
        <f>IF('9.NAR '!H22="","",'9.NAR '!H22)</f>
        <v>Target</v>
      </c>
      <c r="I120">
        <f>IF('9.NAR '!I22="","",'9.NAR '!I22)</f>
        <v>28</v>
      </c>
      <c r="J120">
        <f>IF('9.NAR '!J22="","",'9.NAR '!J22)</f>
        <v>28</v>
      </c>
      <c r="K120">
        <f>IF('9.NAR '!K22="","",'9.NAR '!K22)</f>
        <v>28</v>
      </c>
      <c r="L120">
        <f>IF('9.NAR '!L22="","",'9.NAR '!L22)</f>
        <v>28</v>
      </c>
      <c r="M120">
        <f>IF('9.NAR '!M22="","",'9.NAR '!M22)</f>
        <v>28</v>
      </c>
      <c r="N120">
        <f>IF('9.NAR '!N22="","",'9.NAR '!N22)</f>
        <v>28</v>
      </c>
      <c r="O120">
        <f>IF('9.NAR '!O22="","",'9.NAR '!O22)</f>
        <v>28</v>
      </c>
      <c r="P120">
        <f>IF('9.NAR '!P22="","",'9.NAR '!P22)</f>
        <v>28</v>
      </c>
      <c r="Q120">
        <f>IF('9.NAR '!Q22="","",'9.NAR '!Q22)</f>
        <v>28</v>
      </c>
      <c r="R120">
        <f>IF('9.NAR '!R22="","",'9.NAR '!R22)</f>
        <v>28</v>
      </c>
      <c r="S120">
        <f>IF('9.NAR '!S22="","",'9.NAR '!S22)</f>
        <v>28</v>
      </c>
      <c r="T120">
        <f>IF('9.NAR '!T22="","",'9.NAR '!T22)</f>
        <v>28</v>
      </c>
    </row>
    <row r="121" spans="1:20">
      <c r="A121" t="str">
        <f>'9.NAR '!A22</f>
        <v>IB Winrate (Competition)</v>
      </c>
      <c r="B121" t="str">
        <f>'9.NAR '!B22</f>
        <v>Competition IB Winrate(Philips Opptys won/ Total Opps )</v>
      </c>
      <c r="C121" t="str">
        <f>'9.NAR '!C22</f>
        <v>&gt;=</v>
      </c>
      <c r="D121">
        <f>'9.NAR '!D22</f>
        <v>0.28000000000000003</v>
      </c>
      <c r="E121" t="str">
        <f>'9.NAR '!E22</f>
        <v>%</v>
      </c>
      <c r="F121" t="str">
        <f>'9.NAR '!F22</f>
        <v>Higher the better</v>
      </c>
      <c r="G121" t="str">
        <f>'9.NAR '!G22</f>
        <v>Monthly</v>
      </c>
      <c r="H121" t="str">
        <f>IF('9.NAR '!H23="","",'9.NAR '!H23)</f>
        <v>Actual</v>
      </c>
      <c r="I121">
        <f>IF('9.NAR '!I23="","",'9.NAR '!I23)</f>
        <v>26</v>
      </c>
      <c r="J121">
        <f>IF('9.NAR '!J23="","",'9.NAR '!J23)</f>
        <v>45.7</v>
      </c>
      <c r="K121">
        <f>IF('9.NAR '!K23="","",'9.NAR '!K23)</f>
        <v>44</v>
      </c>
      <c r="L121">
        <f>IF('9.NAR '!L23="","",'9.NAR '!L23)</f>
        <v>31.5</v>
      </c>
      <c r="M121">
        <f>IF('9.NAR '!M23="","",'9.NAR '!M23)</f>
        <v>26.5</v>
      </c>
      <c r="N121">
        <f>IF('9.NAR '!N23="","",'9.NAR '!N23)</f>
        <v>52</v>
      </c>
      <c r="O121">
        <f>IF('9.NAR '!O23="","",'9.NAR '!O23)</f>
        <v>38</v>
      </c>
      <c r="P121" t="str">
        <f>IF('9.NAR '!P23="","",'9.NAR '!P23)</f>
        <v/>
      </c>
      <c r="Q121" t="str">
        <f>IF('9.NAR '!Q23="","",'9.NAR '!Q23)</f>
        <v/>
      </c>
      <c r="R121" t="str">
        <f>IF('9.NAR '!R23="","",'9.NAR '!R23)</f>
        <v/>
      </c>
      <c r="S121" t="str">
        <f>IF('9.NAR '!S23="","",'9.NAR '!S23)</f>
        <v/>
      </c>
      <c r="T121" t="str">
        <f>IF('9.NAR '!T23="","",'9.NAR '!T23)</f>
        <v/>
      </c>
    </row>
    <row r="122" spans="1:20">
      <c r="A122" t="str">
        <f>'9.NAR '!A24</f>
        <v>Win Rate (Total)</v>
      </c>
      <c r="B122" t="str">
        <f>'9.NAR '!B24</f>
        <v>PH OIT / PH OIT+Lost+ NP</v>
      </c>
      <c r="C122" t="str">
        <f>'9.NAR '!C24</f>
        <v>&gt;=</v>
      </c>
      <c r="D122">
        <f>'9.NAR '!D24</f>
        <v>0.34</v>
      </c>
      <c r="E122" t="str">
        <f>'9.NAR '!E24</f>
        <v>%</v>
      </c>
      <c r="F122" t="str">
        <f>'9.NAR '!F24</f>
        <v>Higher the better</v>
      </c>
      <c r="G122" t="str">
        <f>'9.NAR '!G24</f>
        <v>Monthly</v>
      </c>
      <c r="H122" t="str">
        <f>IF('9.NAR '!H24="","",'9.NAR '!H24)</f>
        <v>Target</v>
      </c>
      <c r="I122" s="264">
        <f>IF('9.NAR '!I24="","",'9.NAR '!I24)</f>
        <v>0.34</v>
      </c>
      <c r="J122" s="264">
        <f>IF('9.NAR '!J24="","",'9.NAR '!J24)</f>
        <v>0.34</v>
      </c>
      <c r="K122" s="264">
        <f>IF('9.NAR '!K24="","",'9.NAR '!K24)</f>
        <v>0.34</v>
      </c>
      <c r="L122" s="264">
        <f>IF('9.NAR '!L24="","",'9.NAR '!L24)</f>
        <v>0.34</v>
      </c>
      <c r="M122" s="264">
        <f>IF('9.NAR '!M24="","",'9.NAR '!M24)</f>
        <v>0.34</v>
      </c>
      <c r="N122" s="264">
        <f>IF('9.NAR '!N24="","",'9.NAR '!N24)</f>
        <v>0.34</v>
      </c>
      <c r="O122" s="264">
        <f>IF('9.NAR '!O24="","",'9.NAR '!O24)</f>
        <v>0.34</v>
      </c>
      <c r="P122" s="264">
        <f>IF('9.NAR '!P24="","",'9.NAR '!P24)</f>
        <v>0.34</v>
      </c>
      <c r="Q122" s="264">
        <f>IF('9.NAR '!Q24="","",'9.NAR '!Q24)</f>
        <v>0.34</v>
      </c>
      <c r="R122" s="264">
        <f>IF('9.NAR '!R24="","",'9.NAR '!R24)</f>
        <v>0.34</v>
      </c>
      <c r="S122" s="264">
        <f>IF('9.NAR '!S24="","",'9.NAR '!S24)</f>
        <v>0.34</v>
      </c>
      <c r="T122" s="264">
        <f>IF('9.NAR '!T24="","",'9.NAR '!T24)</f>
        <v>0.34</v>
      </c>
    </row>
    <row r="123" spans="1:20">
      <c r="A123" t="str">
        <f>'9.NAR '!A24</f>
        <v>Win Rate (Total)</v>
      </c>
      <c r="B123" t="str">
        <f>'9.NAR '!B24</f>
        <v>PH OIT / PH OIT+Lost+ NP</v>
      </c>
      <c r="C123" t="str">
        <f>'9.NAR '!C24</f>
        <v>&gt;=</v>
      </c>
      <c r="D123">
        <f>'9.NAR '!D24</f>
        <v>0.34</v>
      </c>
      <c r="E123" t="str">
        <f>'9.NAR '!E24</f>
        <v>%</v>
      </c>
      <c r="F123" t="str">
        <f>'9.NAR '!F24</f>
        <v>Higher the better</v>
      </c>
      <c r="G123" t="str">
        <f>'9.NAR '!G24</f>
        <v>Monthly</v>
      </c>
      <c r="H123" t="str">
        <f>IF('9.NAR '!H25="","",'9.NAR '!H25)</f>
        <v>Actual</v>
      </c>
      <c r="I123" s="264">
        <f>IF('9.NAR '!I25="","",'9.NAR '!I25)</f>
        <v>0.34</v>
      </c>
      <c r="J123" s="264">
        <f>IF('9.NAR '!J25="","",'9.NAR '!J25)</f>
        <v>0.35399999999999998</v>
      </c>
      <c r="K123" s="264">
        <f>IF('9.NAR '!K25="","",'9.NAR '!K25)</f>
        <v>0.40200000000000002</v>
      </c>
      <c r="L123" s="264">
        <f>IF('9.NAR '!L25="","",'9.NAR '!L25)</f>
        <v>0.56299999999999994</v>
      </c>
      <c r="M123" s="264">
        <f>IF('9.NAR '!M25="","",'9.NAR '!M25)</f>
        <v>0.59</v>
      </c>
      <c r="N123" s="264">
        <f>IF('9.NAR '!N25="","",'9.NAR '!N25)</f>
        <v>0.49399999999999999</v>
      </c>
      <c r="O123" s="264">
        <f>IF('9.NAR '!O25="","",'9.NAR '!O25)</f>
        <v>58.4</v>
      </c>
      <c r="P123" s="264" t="str">
        <f>IF('9.NAR '!P25="","",'9.NAR '!P25)</f>
        <v/>
      </c>
      <c r="Q123" s="264" t="str">
        <f>IF('9.NAR '!Q25="","",'9.NAR '!Q25)</f>
        <v/>
      </c>
      <c r="R123" s="264" t="str">
        <f>IF('9.NAR '!R25="","",'9.NAR '!R25)</f>
        <v/>
      </c>
      <c r="S123" s="264" t="str">
        <f>IF('9.NAR '!S25="","",'9.NAR '!S25)</f>
        <v/>
      </c>
      <c r="T123" s="264" t="str">
        <f>IF('9.NAR '!T25="","",'9.NAR '!T25)</f>
        <v/>
      </c>
    </row>
    <row r="125" spans="1:20">
      <c r="A125" s="13" t="s">
        <v>84</v>
      </c>
    </row>
    <row r="126" spans="1:20">
      <c r="A126" t="s">
        <v>58</v>
      </c>
      <c r="B126" t="s">
        <v>59</v>
      </c>
      <c r="C126" t="s">
        <v>5</v>
      </c>
      <c r="D126" t="s">
        <v>60</v>
      </c>
      <c r="E126" t="s">
        <v>7</v>
      </c>
      <c r="F126" t="s">
        <v>61</v>
      </c>
      <c r="G126" t="s">
        <v>9</v>
      </c>
      <c r="H126" t="s">
        <v>62</v>
      </c>
      <c r="I126" s="261" t="s">
        <v>63</v>
      </c>
      <c r="J126" s="261" t="s">
        <v>64</v>
      </c>
      <c r="K126" s="261" t="s">
        <v>65</v>
      </c>
      <c r="L126" s="261" t="s">
        <v>66</v>
      </c>
      <c r="M126" s="261" t="s">
        <v>67</v>
      </c>
      <c r="N126" s="261" t="s">
        <v>68</v>
      </c>
      <c r="O126" s="261" t="s">
        <v>69</v>
      </c>
      <c r="P126" s="261" t="s">
        <v>70</v>
      </c>
      <c r="Q126" s="261" t="s">
        <v>71</v>
      </c>
      <c r="R126" s="261" t="s">
        <v>72</v>
      </c>
      <c r="S126" s="261" t="s">
        <v>73</v>
      </c>
      <c r="T126" s="262" t="s">
        <v>74</v>
      </c>
    </row>
    <row r="127" spans="1:20">
      <c r="A127" t="str">
        <f>'10.EUROPE '!A14</f>
        <v>EQ Funnel Sufficiency</v>
      </c>
      <c r="B127" t="str">
        <f>'10.EUROPE '!B14</f>
        <v>Opps in all stages&gt;AOP*3</v>
      </c>
      <c r="C127" t="str">
        <f>'10.EUROPE '!C14</f>
        <v>&gt;=</v>
      </c>
      <c r="D127">
        <f>'10.EUROPE '!D14</f>
        <v>126</v>
      </c>
      <c r="E127" t="str">
        <f>'10.EUROPE '!E14</f>
        <v>No.</v>
      </c>
      <c r="F127" t="str">
        <f>'10.EUROPE '!F14</f>
        <v>Higher the better</v>
      </c>
      <c r="G127" t="str">
        <f>'10.EUROPE '!G14</f>
        <v>Monthly</v>
      </c>
      <c r="H127" t="str">
        <f>IF('10.EUROPE '!H14="","",'10.EUROPE '!H14)</f>
        <v>Target</v>
      </c>
      <c r="I127">
        <f>IF('10.EUROPE '!I14="","",'10.EUROPE '!I14)</f>
        <v>9</v>
      </c>
      <c r="J127">
        <f>IF('10.EUROPE '!J14="","",'10.EUROPE '!J14)</f>
        <v>4.8000000000000007</v>
      </c>
      <c r="K127">
        <f>IF('10.EUROPE '!K14="","",'10.EUROPE '!K14)</f>
        <v>11.7</v>
      </c>
      <c r="L127">
        <f>IF('10.EUROPE '!L14="","",'10.EUROPE '!L14)</f>
        <v>9.3000000000000007</v>
      </c>
      <c r="M127">
        <f>IF('10.EUROPE '!M14="","",'10.EUROPE '!M14)</f>
        <v>6.3000000000000007</v>
      </c>
      <c r="N127">
        <f>IF('10.EUROPE '!N14="","",'10.EUROPE '!N14)</f>
        <v>13.200000000000001</v>
      </c>
      <c r="O127">
        <f>IF('10.EUROPE '!O14="","",'10.EUROPE '!O14)</f>
        <v>8.6999999999999993</v>
      </c>
      <c r="P127">
        <f>IF('10.EUROPE '!P14="","",'10.EUROPE '!P14)</f>
        <v>9</v>
      </c>
      <c r="Q127">
        <f>IF('10.EUROPE '!Q14="","",'10.EUROPE '!Q14)</f>
        <v>13.5</v>
      </c>
      <c r="R127">
        <f>IF('10.EUROPE '!R14="","",'10.EUROPE '!R14)</f>
        <v>11.399999999999999</v>
      </c>
      <c r="S127">
        <f>IF('10.EUROPE '!S14="","",'10.EUROPE '!S14)</f>
        <v>14.100000000000001</v>
      </c>
      <c r="T127">
        <f>IF('10.EUROPE '!T14="","",'10.EUROPE '!T14)</f>
        <v>21.299999999999997</v>
      </c>
    </row>
    <row r="128" spans="1:20">
      <c r="A128" t="str">
        <f>'10.EUROPE '!A14</f>
        <v>EQ Funnel Sufficiency</v>
      </c>
      <c r="B128" t="str">
        <f>'10.EUROPE '!B14</f>
        <v>Opps in all stages&gt;AOP*3</v>
      </c>
      <c r="C128" t="str">
        <f>'10.EUROPE '!C14</f>
        <v>&gt;=</v>
      </c>
      <c r="D128">
        <f>'10.EUROPE '!D14</f>
        <v>126</v>
      </c>
      <c r="E128" t="str">
        <f>'10.EUROPE '!E14</f>
        <v>No.</v>
      </c>
      <c r="F128" t="str">
        <f>'10.EUROPE '!F14</f>
        <v>Higher the better</v>
      </c>
      <c r="G128" t="str">
        <f>'10.EUROPE '!G14</f>
        <v>Monthly</v>
      </c>
      <c r="H128" t="str">
        <f>IF('10.EUROPE '!H15="","",'10.EUROPE '!H15)</f>
        <v>Actual</v>
      </c>
      <c r="I128">
        <f>IF('10.EUROPE '!I15="","",'10.EUROPE '!I15)</f>
        <v>4.5999999999999996</v>
      </c>
      <c r="J128">
        <f>IF('10.EUROPE '!J15="","",'10.EUROPE '!J15)</f>
        <v>8.1</v>
      </c>
      <c r="K128">
        <f>IF('10.EUROPE '!K15="","",'10.EUROPE '!K15)</f>
        <v>12.7</v>
      </c>
      <c r="L128">
        <f>IF('10.EUROPE '!L15="","",'10.EUROPE '!L15)</f>
        <v>7.2</v>
      </c>
      <c r="M128">
        <f>IF('10.EUROPE '!M15="","",'10.EUROPE '!M15)</f>
        <v>3.5</v>
      </c>
      <c r="N128">
        <f>IF('10.EUROPE '!N15="","",'10.EUROPE '!N15)</f>
        <v>12</v>
      </c>
      <c r="O128">
        <f>IF('10.EUROPE '!O15="","",'10.EUROPE '!O15)</f>
        <v>9</v>
      </c>
      <c r="P128">
        <f>IF('10.EUROPE '!P15="","",'10.EUROPE '!P15)</f>
        <v>6</v>
      </c>
      <c r="Q128">
        <f>IF('10.EUROPE '!Q15="","",'10.EUROPE '!Q15)</f>
        <v>9.1999999999999993</v>
      </c>
      <c r="R128" t="str">
        <f>IF('10.EUROPE '!R15="","",'10.EUROPE '!R15)</f>
        <v/>
      </c>
      <c r="S128" t="str">
        <f>IF('10.EUROPE '!S15="","",'10.EUROPE '!S15)</f>
        <v/>
      </c>
      <c r="T128" t="str">
        <f>IF('10.EUROPE '!T15="","",'10.EUROPE '!T15)</f>
        <v/>
      </c>
    </row>
    <row r="129" spans="1:20">
      <c r="A129" t="str">
        <f>'10.EUROPE '!A16</f>
        <v>PH IB Visibility</v>
      </c>
      <c r="B129" t="str">
        <f>'10.EUROPE '!B16</f>
        <v>Philips  IB Visibility</v>
      </c>
      <c r="C129" t="str">
        <f>'10.EUROPE '!C16</f>
        <v>=</v>
      </c>
      <c r="D129">
        <f>'10.EUROPE '!D16</f>
        <v>0.63</v>
      </c>
      <c r="E129" t="str">
        <f>'10.EUROPE '!E16</f>
        <v>%</v>
      </c>
      <c r="F129" t="str">
        <f>'10.EUROPE '!F16</f>
        <v>Higher the better</v>
      </c>
      <c r="G129" t="str">
        <f>'10.EUROPE '!G16</f>
        <v>Monthly</v>
      </c>
      <c r="H129" t="str">
        <f>IF('10.EUROPE '!H16="","",'10.EUROPE '!H16)</f>
        <v>Target</v>
      </c>
      <c r="I129">
        <f>IF('10.EUROPE '!I16="","",'10.EUROPE '!I16)</f>
        <v>0.52</v>
      </c>
      <c r="J129" s="264">
        <f>IF('10.EUROPE '!J16="","",'10.EUROPE '!J16)</f>
        <v>0.5</v>
      </c>
      <c r="K129" s="264">
        <f>IF('10.EUROPE '!K16="","",'10.EUROPE '!K16)</f>
        <v>0.51</v>
      </c>
      <c r="L129" s="264">
        <f>IF('10.EUROPE '!L16="","",'10.EUROPE '!L16)</f>
        <v>0.51</v>
      </c>
      <c r="M129" s="264">
        <f>IF('10.EUROPE '!M16="","",'10.EUROPE '!M16)</f>
        <v>0.52</v>
      </c>
      <c r="N129" s="264">
        <f>IF('10.EUROPE '!N16="","",'10.EUROPE '!N16)</f>
        <v>0.54</v>
      </c>
      <c r="O129" s="264">
        <f>IF('10.EUROPE '!O16="","",'10.EUROPE '!O16)</f>
        <v>0.54</v>
      </c>
      <c r="P129" s="264">
        <f>IF('10.EUROPE '!P16="","",'10.EUROPE '!P16)</f>
        <v>0.55000000000000004</v>
      </c>
      <c r="Q129" s="264">
        <f>IF('10.EUROPE '!Q16="","",'10.EUROPE '!Q16)</f>
        <v>0.56999999999999995</v>
      </c>
      <c r="R129" s="264">
        <f>IF('10.EUROPE '!R16="","",'10.EUROPE '!R16)</f>
        <v>0.56999999999999995</v>
      </c>
      <c r="S129" s="264">
        <f>IF('10.EUROPE '!S16="","",'10.EUROPE '!S16)</f>
        <v>0.57999999999999996</v>
      </c>
      <c r="T129" s="264">
        <f>IF('10.EUROPE '!T16="","",'10.EUROPE '!T16)</f>
        <v>0.6</v>
      </c>
    </row>
    <row r="130" spans="1:20">
      <c r="A130" t="str">
        <f>'10.EUROPE '!A16</f>
        <v>PH IB Visibility</v>
      </c>
      <c r="B130" t="str">
        <f>'10.EUROPE '!B16</f>
        <v>Philips  IB Visibility</v>
      </c>
      <c r="C130" t="str">
        <f>'10.EUROPE '!C16</f>
        <v>=</v>
      </c>
      <c r="D130">
        <f>'10.EUROPE '!D16</f>
        <v>0.63</v>
      </c>
      <c r="E130" t="str">
        <f>'10.EUROPE '!E16</f>
        <v>%</v>
      </c>
      <c r="F130" t="str">
        <f>'10.EUROPE '!F16</f>
        <v>Higher the better</v>
      </c>
      <c r="G130" t="str">
        <f>'10.EUROPE '!G16</f>
        <v>Monthly</v>
      </c>
      <c r="H130" t="str">
        <f>IF('10.EUROPE '!H17="","",'10.EUROPE '!H17)</f>
        <v>Actual</v>
      </c>
      <c r="I130">
        <f>IF('10.EUROPE '!I17="","",'10.EUROPE '!I17)</f>
        <v>0.52</v>
      </c>
      <c r="J130" s="264">
        <f>IF('10.EUROPE '!J17="","",'10.EUROPE '!J17)</f>
        <v>0.5</v>
      </c>
      <c r="K130" s="264">
        <f>IF('10.EUROPE '!K17="","",'10.EUROPE '!K17)</f>
        <v>0.51</v>
      </c>
      <c r="L130" s="264">
        <f>IF('10.EUROPE '!L17="","",'10.EUROPE '!L17)</f>
        <v>0.504</v>
      </c>
      <c r="M130" s="264">
        <f>IF('10.EUROPE '!M17="","",'10.EUROPE '!M17)</f>
        <v>0.50600000000000001</v>
      </c>
      <c r="N130" s="264">
        <f>IF('10.EUROPE '!N17="","",'10.EUROPE '!N17)</f>
        <v>0.53</v>
      </c>
      <c r="O130" s="264">
        <f>IF('10.EUROPE '!O17="","",'10.EUROPE '!O17)</f>
        <v>0.54</v>
      </c>
      <c r="P130" s="264" t="str">
        <f>IF('10.EUROPE '!P17="","",'10.EUROPE '!P17)</f>
        <v/>
      </c>
      <c r="Q130" s="264" t="str">
        <f>IF('10.EUROPE '!Q17="","",'10.EUROPE '!Q17)</f>
        <v/>
      </c>
      <c r="R130" s="264" t="str">
        <f>IF('10.EUROPE '!R17="","",'10.EUROPE '!R17)</f>
        <v/>
      </c>
      <c r="S130" s="264" t="str">
        <f>IF('10.EUROPE '!S17="","",'10.EUROPE '!S17)</f>
        <v/>
      </c>
      <c r="T130" s="264" t="str">
        <f>IF('10.EUROPE '!T17="","",'10.EUROPE '!T17)</f>
        <v/>
      </c>
    </row>
    <row r="131" spans="1:20">
      <c r="A131" t="str">
        <f>'10.EUROPE '!A18</f>
        <v>EQ Forecast Sufficiency</v>
      </c>
      <c r="B131" t="str">
        <f>'10.EUROPE '!B18</f>
        <v>(orders won+commit+BC Flag)/AOP &gt;60% by WD 10 of month #1, &gt;80% by WD 10 of month #2, &gt;100% by WD 10 of month #3</v>
      </c>
      <c r="C131" t="str">
        <f>'10.EUROPE '!C18</f>
        <v>=</v>
      </c>
      <c r="D131">
        <f>'10.EUROPE '!D18</f>
        <v>10</v>
      </c>
      <c r="E131" t="str">
        <f>'10.EUROPE '!E18</f>
        <v>No.</v>
      </c>
      <c r="F131" t="str">
        <f>'10.EUROPE '!F18</f>
        <v>Higher the better</v>
      </c>
      <c r="G131" t="str">
        <f>'10.EUROPE '!G18</f>
        <v>Monthly</v>
      </c>
      <c r="H131" t="str">
        <f>IF('10.EUROPE '!H18="","",'10.EUROPE '!H18)</f>
        <v>Target</v>
      </c>
      <c r="I131">
        <f>IF('10.EUROPE '!I18="","",'10.EUROPE '!I18)</f>
        <v>0.6</v>
      </c>
      <c r="J131">
        <f>IF('10.EUROPE '!J18="","",'10.EUROPE '!J18)</f>
        <v>0.8</v>
      </c>
      <c r="K131">
        <f>IF('10.EUROPE '!K18="","",'10.EUROPE '!K18)</f>
        <v>1</v>
      </c>
      <c r="L131">
        <f>IF('10.EUROPE '!L18="","",'10.EUROPE '!L18)</f>
        <v>0.6</v>
      </c>
      <c r="M131">
        <f>IF('10.EUROPE '!M18="","",'10.EUROPE '!M18)</f>
        <v>0.8</v>
      </c>
      <c r="N131">
        <f>IF('10.EUROPE '!N18="","",'10.EUROPE '!N18)</f>
        <v>1</v>
      </c>
      <c r="O131">
        <f>IF('10.EUROPE '!O18="","",'10.EUROPE '!O18)</f>
        <v>0.6</v>
      </c>
      <c r="P131">
        <f>IF('10.EUROPE '!P18="","",'10.EUROPE '!P18)</f>
        <v>0.8</v>
      </c>
      <c r="Q131">
        <f>IF('10.EUROPE '!Q18="","",'10.EUROPE '!Q18)</f>
        <v>1</v>
      </c>
      <c r="R131">
        <f>IF('10.EUROPE '!R18="","",'10.EUROPE '!R18)</f>
        <v>0.6</v>
      </c>
      <c r="S131">
        <f>IF('10.EUROPE '!S18="","",'10.EUROPE '!S18)</f>
        <v>0.8</v>
      </c>
      <c r="T131">
        <f>IF('10.EUROPE '!T18="","",'10.EUROPE '!T18)</f>
        <v>1</v>
      </c>
    </row>
    <row r="132" spans="1:20">
      <c r="A132" t="str">
        <f>'10.EUROPE '!A18</f>
        <v>EQ Forecast Sufficiency</v>
      </c>
      <c r="B132" t="str">
        <f>'10.EUROPE '!B18</f>
        <v>(orders won+commit+BC Flag)/AOP &gt;60% by WD 10 of month #1, &gt;80% by WD 10 of month #2, &gt;100% by WD 10 of month #3</v>
      </c>
      <c r="C132" t="str">
        <f>'10.EUROPE '!C18</f>
        <v>=</v>
      </c>
      <c r="D132">
        <f>'10.EUROPE '!D18</f>
        <v>10</v>
      </c>
      <c r="E132" t="str">
        <f>'10.EUROPE '!E18</f>
        <v>No.</v>
      </c>
      <c r="F132" t="str">
        <f>'10.EUROPE '!F18</f>
        <v>Higher the better</v>
      </c>
      <c r="G132" t="str">
        <f>'10.EUROPE '!G18</f>
        <v>Monthly</v>
      </c>
      <c r="H132" t="str">
        <f>IF('10.EUROPE '!H19="","",'10.EUROPE '!H19)</f>
        <v>Actual</v>
      </c>
      <c r="I132">
        <f>IF('10.EUROPE '!I19="","",'10.EUROPE '!I19)</f>
        <v>0.6</v>
      </c>
      <c r="J132">
        <f>IF('10.EUROPE '!J19="","",'10.EUROPE '!J19)</f>
        <v>0.81</v>
      </c>
      <c r="K132">
        <f>IF('10.EUROPE '!K19="","",'10.EUROPE '!K19)</f>
        <v>1.05</v>
      </c>
      <c r="L132">
        <f>IF('10.EUROPE '!L19="","",'10.EUROPE '!L19)</f>
        <v>0.37</v>
      </c>
      <c r="M132">
        <f>IF('10.EUROPE '!M19="","",'10.EUROPE '!M19)</f>
        <v>0.42</v>
      </c>
      <c r="N132">
        <f>IF('10.EUROPE '!N19="","",'10.EUROPE '!N19)</f>
        <v>0.7</v>
      </c>
      <c r="O132">
        <f>IF('10.EUROPE '!O19="","",'10.EUROPE '!O19)</f>
        <v>0.6</v>
      </c>
      <c r="P132">
        <f>IF('10.EUROPE '!P19="","",'10.EUROPE '!P19)</f>
        <v>0.63</v>
      </c>
      <c r="Q132">
        <f>IF('10.EUROPE '!Q19="","",'10.EUROPE '!Q19)</f>
        <v>0.67</v>
      </c>
      <c r="R132" t="str">
        <f>IF('10.EUROPE '!R19="","",'10.EUROPE '!R19)</f>
        <v/>
      </c>
      <c r="S132" t="str">
        <f>IF('10.EUROPE '!S19="","",'10.EUROPE '!S19)</f>
        <v/>
      </c>
      <c r="T132" t="str">
        <f>IF('10.EUROPE '!T19="","",'10.EUROPE '!T19)</f>
        <v/>
      </c>
    </row>
    <row r="133" spans="1:20">
      <c r="A133" t="str">
        <f>'10.EUROPE '!A20</f>
        <v>EQ Win-rate</v>
      </c>
      <c r="B133" t="str">
        <f>'10.EUROPE '!B20</f>
        <v>Win-rate</v>
      </c>
      <c r="C133" t="str">
        <f>'10.EUROPE '!C20</f>
        <v>=</v>
      </c>
      <c r="D133">
        <f>'10.EUROPE '!D20</f>
        <v>0.31</v>
      </c>
      <c r="E133" t="str">
        <f>'10.EUROPE '!E20</f>
        <v>%</v>
      </c>
      <c r="F133" t="str">
        <f>'10.EUROPE '!F20</f>
        <v>Higher the better</v>
      </c>
      <c r="G133" t="str">
        <f>'10.EUROPE '!G20</f>
        <v>Monthly</v>
      </c>
      <c r="H133" t="str">
        <f>IF('10.EUROPE '!H20="","",'10.EUROPE '!H20)</f>
        <v>Target</v>
      </c>
      <c r="I133" s="264">
        <f>IF('10.EUROPE '!I20="","",'10.EUROPE '!I20)</f>
        <v>0.31</v>
      </c>
      <c r="J133" s="264">
        <f>IF('10.EUROPE '!J20="","",'10.EUROPE '!J20)</f>
        <v>0.31</v>
      </c>
      <c r="K133" s="264">
        <f>IF('10.EUROPE '!K20="","",'10.EUROPE '!K20)</f>
        <v>0.31</v>
      </c>
      <c r="L133" s="264">
        <f>IF('10.EUROPE '!L20="","",'10.EUROPE '!L20)</f>
        <v>0.31</v>
      </c>
      <c r="M133" s="264">
        <f>IF('10.EUROPE '!M20="","",'10.EUROPE '!M20)</f>
        <v>0.31</v>
      </c>
      <c r="N133" s="264">
        <f>IF('10.EUROPE '!N20="","",'10.EUROPE '!N20)</f>
        <v>0.31</v>
      </c>
      <c r="O133" s="264">
        <f>IF('10.EUROPE '!O20="","",'10.EUROPE '!O20)</f>
        <v>0.31</v>
      </c>
      <c r="P133" s="264">
        <f>IF('10.EUROPE '!P20="","",'10.EUROPE '!P20)</f>
        <v>0.31</v>
      </c>
      <c r="Q133" s="264">
        <f>IF('10.EUROPE '!Q20="","",'10.EUROPE '!Q20)</f>
        <v>0.31</v>
      </c>
      <c r="R133" s="264">
        <f>IF('10.EUROPE '!R20="","",'10.EUROPE '!R20)</f>
        <v>0.31</v>
      </c>
      <c r="S133" s="264">
        <f>IF('10.EUROPE '!S20="","",'10.EUROPE '!S20)</f>
        <v>0.31</v>
      </c>
      <c r="T133" s="264">
        <f>IF('10.EUROPE '!T20="","",'10.EUROPE '!T20)</f>
        <v>0.31</v>
      </c>
    </row>
    <row r="134" spans="1:20">
      <c r="A134" t="str">
        <f>'10.EUROPE '!A20</f>
        <v>EQ Win-rate</v>
      </c>
      <c r="B134" t="str">
        <f>'10.EUROPE '!B20</f>
        <v>Win-rate</v>
      </c>
      <c r="C134" t="str">
        <f>'10.EUROPE '!C20</f>
        <v>=</v>
      </c>
      <c r="D134">
        <f>'10.EUROPE '!D20</f>
        <v>0.31</v>
      </c>
      <c r="E134" t="str">
        <f>'10.EUROPE '!E20</f>
        <v>%</v>
      </c>
      <c r="F134" t="str">
        <f>'10.EUROPE '!F20</f>
        <v>Higher the better</v>
      </c>
      <c r="G134" t="str">
        <f>'10.EUROPE '!G20</f>
        <v>Monthly</v>
      </c>
      <c r="H134" t="str">
        <f>IF('10.EUROPE '!H21="","",'10.EUROPE '!H21)</f>
        <v>Actual</v>
      </c>
      <c r="I134" s="264">
        <f>IF('10.EUROPE '!I21="","",'10.EUROPE '!I21)</f>
        <v>0.25</v>
      </c>
      <c r="J134" s="264">
        <f>IF('10.EUROPE '!J21="","",'10.EUROPE '!J21)</f>
        <v>0.42</v>
      </c>
      <c r="K134" s="264">
        <f>IF('10.EUROPE '!K21="","",'10.EUROPE '!K21)</f>
        <v>0.47</v>
      </c>
      <c r="L134" s="264">
        <f>IF('10.EUROPE '!L21="","",'10.EUROPE '!L21)</f>
        <v>0.38900000000000001</v>
      </c>
      <c r="M134" s="264">
        <f>IF('10.EUROPE '!M21="","",'10.EUROPE '!M21)</f>
        <v>0.154</v>
      </c>
      <c r="N134" s="264">
        <f>IF('10.EUROPE '!N21="","",'10.EUROPE '!N21)</f>
        <v>0.45700000000000002</v>
      </c>
      <c r="O134" s="264">
        <f>IF('10.EUROPE '!O21="","",'10.EUROPE '!O21)</f>
        <v>0.16</v>
      </c>
      <c r="P134" s="264">
        <f>IF('10.EUROPE '!P21="","",'10.EUROPE '!P21)</f>
        <v>0.22600000000000001</v>
      </c>
      <c r="Q134" s="264" t="str">
        <f>IF('10.EUROPE '!Q21="","",'10.EUROPE '!Q21)</f>
        <v/>
      </c>
      <c r="R134" s="264" t="str">
        <f>IF('10.EUROPE '!R21="","",'10.EUROPE '!R21)</f>
        <v/>
      </c>
      <c r="S134" s="264" t="str">
        <f>IF('10.EUROPE '!S21="","",'10.EUROPE '!S21)</f>
        <v/>
      </c>
      <c r="T134" s="264" t="str">
        <f>IF('10.EUROPE '!T21="","",'10.EUROPE '!T21)</f>
        <v/>
      </c>
    </row>
    <row r="135" spans="1:20">
      <c r="A135" t="str">
        <f>'10.EUROPE '!A22</f>
        <v>PoS%</v>
      </c>
      <c r="B135" t="str">
        <f>'10.EUROPE '!B22</f>
        <v>CS PoS Attachment Rate</v>
      </c>
      <c r="C135" t="str">
        <f>'10.EUROPE '!C22</f>
        <v>=</v>
      </c>
      <c r="D135">
        <f>'10.EUROPE '!D22</f>
        <v>0.45</v>
      </c>
      <c r="E135" t="str">
        <f>'10.EUROPE '!E22</f>
        <v>%</v>
      </c>
      <c r="F135" t="str">
        <f>'10.EUROPE '!F22</f>
        <v>Higher the better</v>
      </c>
      <c r="G135" t="str">
        <f>'10.EUROPE '!G22</f>
        <v>Monthly</v>
      </c>
      <c r="H135" t="str">
        <f>IF('10.EUROPE '!H22="","",'10.EUROPE '!H22)</f>
        <v>Target</v>
      </c>
      <c r="I135" s="264">
        <f>IF('10.EUROPE '!I22="","",'10.EUROPE '!I22)</f>
        <v>0.28000000000000003</v>
      </c>
      <c r="J135" s="264">
        <f>IF('10.EUROPE '!J22="","",'10.EUROPE '!J22)</f>
        <v>0.28000000000000003</v>
      </c>
      <c r="K135" s="264">
        <f>IF('10.EUROPE '!K22="","",'10.EUROPE '!K22)</f>
        <v>0.28000000000000003</v>
      </c>
      <c r="L135" s="264">
        <f>IF('10.EUROPE '!L22="","",'10.EUROPE '!L22)</f>
        <v>0.35</v>
      </c>
      <c r="M135" s="264">
        <f>IF('10.EUROPE '!M22="","",'10.EUROPE '!M22)</f>
        <v>0.35</v>
      </c>
      <c r="N135" s="264">
        <f>IF('10.EUROPE '!N22="","",'10.EUROPE '!N22)</f>
        <v>0.35</v>
      </c>
      <c r="O135" s="264">
        <f>IF('10.EUROPE '!O22="","",'10.EUROPE '!O22)</f>
        <v>0.4</v>
      </c>
      <c r="P135" s="264">
        <f>IF('10.EUROPE '!P22="","",'10.EUROPE '!P22)</f>
        <v>0.4</v>
      </c>
      <c r="Q135" s="264">
        <f>IF('10.EUROPE '!Q22="","",'10.EUROPE '!Q22)</f>
        <v>0.4</v>
      </c>
      <c r="R135" s="264">
        <f>IF('10.EUROPE '!R22="","",'10.EUROPE '!R22)</f>
        <v>0.45</v>
      </c>
      <c r="S135" s="264">
        <f>IF('10.EUROPE '!S22="","",'10.EUROPE '!S22)</f>
        <v>0.45</v>
      </c>
      <c r="T135" s="264">
        <f>IF('10.EUROPE '!T22="","",'10.EUROPE '!T22)</f>
        <v>0.45</v>
      </c>
    </row>
    <row r="136" spans="1:20">
      <c r="A136" t="str">
        <f>'10.EUROPE '!A22</f>
        <v>PoS%</v>
      </c>
      <c r="B136" t="str">
        <f>'10.EUROPE '!B22</f>
        <v>CS PoS Attachment Rate</v>
      </c>
      <c r="C136" t="str">
        <f>'10.EUROPE '!C22</f>
        <v>=</v>
      </c>
      <c r="D136">
        <f>'10.EUROPE '!D22</f>
        <v>0.45</v>
      </c>
      <c r="E136" t="str">
        <f>'10.EUROPE '!E22</f>
        <v>%</v>
      </c>
      <c r="F136" t="str">
        <f>'10.EUROPE '!F22</f>
        <v>Higher the better</v>
      </c>
      <c r="G136" t="str">
        <f>'10.EUROPE '!G22</f>
        <v>Monthly</v>
      </c>
      <c r="H136" t="str">
        <f>IF('10.EUROPE '!H23="","",'10.EUROPE '!H23)</f>
        <v>Actual</v>
      </c>
      <c r="I136" s="264">
        <f>IF('10.EUROPE '!I23="","",'10.EUROPE '!I23)</f>
        <v>0.4</v>
      </c>
      <c r="J136" s="264">
        <f>IF('10.EUROPE '!J23="","",'10.EUROPE '!J23)</f>
        <v>0.58799999999999997</v>
      </c>
      <c r="K136" s="264">
        <f>IF('10.EUROPE '!K23="","",'10.EUROPE '!K23)</f>
        <v>0.6</v>
      </c>
      <c r="L136" s="264">
        <f>IF('10.EUROPE '!L23="","",'10.EUROPE '!L23)</f>
        <v>0.58299999999999996</v>
      </c>
      <c r="M136" s="264">
        <f>IF('10.EUROPE '!M23="","",'10.EUROPE '!M23)</f>
        <v>0.66700000000000004</v>
      </c>
      <c r="N136" s="264">
        <f>IF('10.EUROPE '!N23="","",'10.EUROPE '!N23)</f>
        <v>0.33300000000000002</v>
      </c>
      <c r="O136" s="264">
        <f>IF('10.EUROPE '!O23="","",'10.EUROPE '!O23)</f>
        <v>0.28599999999999998</v>
      </c>
      <c r="P136" s="264" t="str">
        <f>IF('10.EUROPE '!P23="","",'10.EUROPE '!P23)</f>
        <v/>
      </c>
      <c r="Q136" s="264" t="str">
        <f>IF('10.EUROPE '!Q23="","",'10.EUROPE '!Q23)</f>
        <v/>
      </c>
      <c r="R136" s="264" t="str">
        <f>IF('10.EUROPE '!R23="","",'10.EUROPE '!R23)</f>
        <v/>
      </c>
      <c r="S136" s="264" t="str">
        <f>IF('10.EUROPE '!S23="","",'10.EUROPE '!S23)</f>
        <v/>
      </c>
      <c r="T136" s="264" t="str">
        <f>IF('10.EUROPE '!T23="","",'10.EUROPE '!T23)</f>
        <v/>
      </c>
    </row>
    <row r="137" spans="1:20">
      <c r="A137" t="str">
        <f>'10.EUROPE '!A24</f>
        <v>IGM%</v>
      </c>
      <c r="B137" t="str">
        <f>'10.EUROPE '!B24</f>
        <v>EQ + CS IGM%</v>
      </c>
      <c r="C137" t="str">
        <f>'10.EUROPE '!C24</f>
        <v>&gt;=</v>
      </c>
      <c r="D137">
        <f>'10.EUROPE '!D24</f>
        <v>0.41299999999999998</v>
      </c>
      <c r="E137" t="str">
        <f>'10.EUROPE '!E24</f>
        <v>%</v>
      </c>
      <c r="F137" t="str">
        <f>'10.EUROPE '!F24</f>
        <v>Higher the better</v>
      </c>
      <c r="G137" t="str">
        <f>'10.EUROPE '!G24</f>
        <v>Monthly</v>
      </c>
      <c r="H137" t="str">
        <f>IF('10.EUROPE '!H24="","",'10.EUROPE '!H24)</f>
        <v>Target</v>
      </c>
      <c r="I137" s="266">
        <f>IF('10.EUROPE '!I24="","",'10.EUROPE '!I24)</f>
        <v>0.35199999999999998</v>
      </c>
      <c r="J137" s="266">
        <f>IF('10.EUROPE '!J24="","",'10.EUROPE '!J24)</f>
        <v>0.32100000000000001</v>
      </c>
      <c r="K137" s="266">
        <f>IF('10.EUROPE '!K24="","",'10.EUROPE '!K24)</f>
        <v>0.34200000000000003</v>
      </c>
      <c r="L137" s="266">
        <f>IF('10.EUROPE '!L24="","",'10.EUROPE '!L24)</f>
        <v>0.36299999999999999</v>
      </c>
      <c r="M137" s="266">
        <f>IF('10.EUROPE '!M24="","",'10.EUROPE '!M24)</f>
        <v>0.35199999999999998</v>
      </c>
      <c r="N137" s="266">
        <f>IF('10.EUROPE '!N24="","",'10.EUROPE '!N24)</f>
        <v>0.35499999999999998</v>
      </c>
      <c r="O137" s="266">
        <f>IF('10.EUROPE '!O24="","",'10.EUROPE '!O24)</f>
        <v>0.35699999999999998</v>
      </c>
      <c r="P137" s="266">
        <f>IF('10.EUROPE '!P24="","",'10.EUROPE '!P24)</f>
        <v>0.36299999999999999</v>
      </c>
      <c r="Q137" s="266">
        <f>IF('10.EUROPE '!Q24="","",'10.EUROPE '!Q24)</f>
        <v>0.33700000000000002</v>
      </c>
      <c r="R137" s="266">
        <f>IF('10.EUROPE '!R24="","",'10.EUROPE '!R24)</f>
        <v>0.33800000000000002</v>
      </c>
      <c r="S137" s="266">
        <f>IF('10.EUROPE '!S24="","",'10.EUROPE '!S24)</f>
        <v>0.35099999999999998</v>
      </c>
      <c r="T137" s="266">
        <f>IF('10.EUROPE '!T24="","",'10.EUROPE '!T24)</f>
        <v>0.36199999999999999</v>
      </c>
    </row>
    <row r="138" spans="1:20">
      <c r="A138" t="str">
        <f>'10.EUROPE '!A24</f>
        <v>IGM%</v>
      </c>
      <c r="B138" t="str">
        <f>'10.EUROPE '!B24</f>
        <v>EQ + CS IGM%</v>
      </c>
      <c r="C138" t="str">
        <f>'10.EUROPE '!C24</f>
        <v>&gt;=</v>
      </c>
      <c r="D138">
        <f>'10.EUROPE '!D24</f>
        <v>0.41299999999999998</v>
      </c>
      <c r="E138" t="str">
        <f>'10.EUROPE '!E24</f>
        <v>%</v>
      </c>
      <c r="F138" t="str">
        <f>'10.EUROPE '!F24</f>
        <v>Higher the better</v>
      </c>
      <c r="G138" t="str">
        <f>'10.EUROPE '!G24</f>
        <v>Monthly</v>
      </c>
      <c r="H138" t="str">
        <f>IF('10.EUROPE '!H25="","",'10.EUROPE '!H25)</f>
        <v>Actual</v>
      </c>
      <c r="I138" s="266">
        <f>IF('10.EUROPE '!I25="","",'10.EUROPE '!I25)</f>
        <v>0.29399999999999998</v>
      </c>
      <c r="J138" s="266">
        <f>IF('10.EUROPE '!J25="","",'10.EUROPE '!J25)</f>
        <v>0.316</v>
      </c>
      <c r="K138" s="266">
        <f>IF('10.EUROPE '!K25="","",'10.EUROPE '!K25)</f>
        <v>0.29299999999999998</v>
      </c>
      <c r="L138" s="266">
        <f>IF('10.EUROPE '!L25="","",'10.EUROPE '!L25)</f>
        <v>0.436</v>
      </c>
      <c r="M138" s="266">
        <f>IF('10.EUROPE '!M25="","",'10.EUROPE '!M25)</f>
        <v>0.42799999999999999</v>
      </c>
      <c r="N138" s="266">
        <f>IF('10.EUROPE '!N25="","",'10.EUROPE '!N25)</f>
        <v>0.28499999999999998</v>
      </c>
      <c r="O138" s="266">
        <f>IF('10.EUROPE '!O25="","",'10.EUROPE '!O25)</f>
        <v>0.434</v>
      </c>
      <c r="P138" s="266">
        <f>IF('10.EUROPE '!P25="","",'10.EUROPE '!P25)</f>
        <v>0.32900000000000001</v>
      </c>
      <c r="Q138" s="266" t="str">
        <f>IF('10.EUROPE '!Q25="","",'10.EUROPE '!Q25)</f>
        <v/>
      </c>
      <c r="R138" s="266" t="str">
        <f>IF('10.EUROPE '!R25="","",'10.EUROPE '!R25)</f>
        <v/>
      </c>
      <c r="S138" s="266" t="str">
        <f>IF('10.EUROPE '!S25="","",'10.EUROPE '!S25)</f>
        <v/>
      </c>
      <c r="T138" s="266" t="str">
        <f>IF('10.EUROPE '!T25="","",'10.EUROPE '!T25)</f>
        <v/>
      </c>
    </row>
    <row r="140" spans="1:20">
      <c r="A140" s="13" t="s">
        <v>85</v>
      </c>
    </row>
    <row r="141" spans="1:20">
      <c r="A141" t="s">
        <v>58</v>
      </c>
      <c r="B141" t="s">
        <v>59</v>
      </c>
      <c r="C141" t="s">
        <v>5</v>
      </c>
      <c r="D141" t="s">
        <v>60</v>
      </c>
      <c r="E141" t="s">
        <v>7</v>
      </c>
      <c r="F141" t="s">
        <v>61</v>
      </c>
      <c r="G141" t="s">
        <v>9</v>
      </c>
      <c r="H141" t="s">
        <v>62</v>
      </c>
      <c r="I141" s="261" t="s">
        <v>63</v>
      </c>
      <c r="J141" s="261" t="s">
        <v>64</v>
      </c>
      <c r="K141" s="261" t="s">
        <v>65</v>
      </c>
      <c r="L141" s="261" t="s">
        <v>66</v>
      </c>
      <c r="M141" s="261" t="s">
        <v>67</v>
      </c>
      <c r="N141" s="261" t="s">
        <v>68</v>
      </c>
      <c r="O141" s="261" t="s">
        <v>69</v>
      </c>
      <c r="P141" s="261" t="s">
        <v>70</v>
      </c>
      <c r="Q141" s="261" t="s">
        <v>71</v>
      </c>
      <c r="R141" s="261" t="s">
        <v>72</v>
      </c>
      <c r="S141" s="261" t="s">
        <v>73</v>
      </c>
      <c r="T141" s="262" t="s">
        <v>74</v>
      </c>
    </row>
    <row r="142" spans="1:20">
      <c r="A142" t="str">
        <f>'11.GROWTH '!A14</f>
        <v>Market Visibility</v>
      </c>
      <c r="B142" t="str">
        <f>'11.GROWTH '!B14</f>
        <v>MAT Visibility (%)</v>
      </c>
      <c r="C142" t="str">
        <f>'11.GROWTH '!C14</f>
        <v>=</v>
      </c>
      <c r="D142">
        <f>'11.GROWTH '!D14</f>
        <v>0.65</v>
      </c>
      <c r="E142" t="str">
        <f>'11.GROWTH '!E14</f>
        <v>%</v>
      </c>
      <c r="F142" t="str">
        <f>'11.GROWTH '!F14</f>
        <v>Higher the better</v>
      </c>
      <c r="G142" t="str">
        <f>'11.GROWTH '!G14</f>
        <v>Quarterly</v>
      </c>
      <c r="H142" t="str">
        <f>IF('11.GROWTH '!H14="","",'11.GROWTH '!H14)</f>
        <v>Target</v>
      </c>
      <c r="I142" t="str">
        <f>IF('11.GROWTH '!I14="","",'11.GROWTH '!I14)</f>
        <v/>
      </c>
      <c r="J142" s="264" t="str">
        <f>IF('11.GROWTH '!J14="","",'11.GROWTH '!J14)</f>
        <v/>
      </c>
      <c r="K142" s="264">
        <f>IF('11.GROWTH '!K14="","",'11.GROWTH '!K14)</f>
        <v>0.62</v>
      </c>
      <c r="L142" s="264" t="str">
        <f>IF('11.GROWTH '!L14="","",'11.GROWTH '!L14)</f>
        <v/>
      </c>
      <c r="M142" s="264" t="str">
        <f>IF('11.GROWTH '!M14="","",'11.GROWTH '!M14)</f>
        <v/>
      </c>
      <c r="N142" s="264">
        <f>IF('11.GROWTH '!N14="","",'11.GROWTH '!N14)</f>
        <v>0.63</v>
      </c>
      <c r="O142" s="264" t="str">
        <f>IF('11.GROWTH '!O14="","",'11.GROWTH '!O14)</f>
        <v/>
      </c>
      <c r="P142" s="264" t="str">
        <f>IF('11.GROWTH '!P14="","",'11.GROWTH '!P14)</f>
        <v/>
      </c>
      <c r="Q142" s="264">
        <f>IF('11.GROWTH '!Q14="","",'11.GROWTH '!Q14)</f>
        <v>0.64</v>
      </c>
      <c r="R142" s="264" t="str">
        <f>IF('11.GROWTH '!R14="","",'11.GROWTH '!R14)</f>
        <v/>
      </c>
      <c r="S142" s="264" t="str">
        <f>IF('11.GROWTH '!S14="","",'11.GROWTH '!S14)</f>
        <v/>
      </c>
      <c r="T142" s="264">
        <f>IF('11.GROWTH '!T14="","",'11.GROWTH '!T14)</f>
        <v>0.65</v>
      </c>
    </row>
    <row r="143" spans="1:20">
      <c r="A143" t="str">
        <f>'11.GROWTH '!A14</f>
        <v>Market Visibility</v>
      </c>
      <c r="B143" t="str">
        <f>'11.GROWTH '!B14</f>
        <v>MAT Visibility (%)</v>
      </c>
      <c r="C143" t="str">
        <f>'11.GROWTH '!C14</f>
        <v>=</v>
      </c>
      <c r="D143">
        <f>'11.GROWTH '!D14</f>
        <v>0.65</v>
      </c>
      <c r="E143" t="str">
        <f>'11.GROWTH '!E14</f>
        <v>%</v>
      </c>
      <c r="F143" t="str">
        <f>'11.GROWTH '!F14</f>
        <v>Higher the better</v>
      </c>
      <c r="G143" t="str">
        <f>'11.GROWTH '!G14</f>
        <v>Quarterly</v>
      </c>
      <c r="H143" t="str">
        <f>IF('11.GROWTH '!H15="","",'11.GROWTH '!H15)</f>
        <v>Actual</v>
      </c>
      <c r="I143" t="str">
        <f>IF('11.GROWTH '!I15="","",'11.GROWTH '!I15)</f>
        <v/>
      </c>
      <c r="J143" s="264" t="str">
        <f>IF('11.GROWTH '!J15="","",'11.GROWTH '!J15)</f>
        <v/>
      </c>
      <c r="K143" s="264" t="str">
        <f>IF('11.GROWTH '!K15="","",'11.GROWTH '!K15)</f>
        <v/>
      </c>
      <c r="L143" s="264" t="str">
        <f>IF('11.GROWTH '!L15="","",'11.GROWTH '!L15)</f>
        <v/>
      </c>
      <c r="M143" s="264" t="str">
        <f>IF('11.GROWTH '!M15="","",'11.GROWTH '!M15)</f>
        <v/>
      </c>
      <c r="N143" s="264" t="str">
        <f>IF('11.GROWTH '!N15="","",'11.GROWTH '!N15)</f>
        <v/>
      </c>
      <c r="O143" s="264" t="str">
        <f>IF('11.GROWTH '!O15="","",'11.GROWTH '!O15)</f>
        <v/>
      </c>
      <c r="P143" s="264" t="str">
        <f>IF('11.GROWTH '!P15="","",'11.GROWTH '!P15)</f>
        <v/>
      </c>
      <c r="Q143" s="264" t="str">
        <f>IF('11.GROWTH '!Q15="","",'11.GROWTH '!Q15)</f>
        <v/>
      </c>
      <c r="R143" s="264" t="str">
        <f>IF('11.GROWTH '!R15="","",'11.GROWTH '!R15)</f>
        <v/>
      </c>
      <c r="S143" s="264" t="str">
        <f>IF('11.GROWTH '!S15="","",'11.GROWTH '!S15)</f>
        <v/>
      </c>
      <c r="T143" s="264" t="str">
        <f>IF('11.GROWTH '!T15="","",'11.GROWTH '!T15)</f>
        <v/>
      </c>
    </row>
    <row r="144" spans="1:20">
      <c r="A144" t="str">
        <f>'11.GROWTH '!A16</f>
        <v>EOL IB Visibility</v>
      </c>
      <c r="B144" t="str">
        <f>'11.GROWTH '!B16</f>
        <v>EOL IB Visibility (%)</v>
      </c>
      <c r="C144" t="str">
        <f>'11.GROWTH '!C16</f>
        <v>&gt;</v>
      </c>
      <c r="D144">
        <f>'11.GROWTH '!D16</f>
        <v>0.8</v>
      </c>
      <c r="E144" t="str">
        <f>'11.GROWTH '!E16</f>
        <v>%</v>
      </c>
      <c r="F144" t="str">
        <f>'11.GROWTH '!F16</f>
        <v>Higher the better</v>
      </c>
      <c r="G144" t="str">
        <f>'11.GROWTH '!G16</f>
        <v>Monthly</v>
      </c>
      <c r="H144" t="str">
        <f>IF('11.GROWTH '!H16="","",'11.GROWTH '!H16)</f>
        <v>Target</v>
      </c>
      <c r="I144">
        <f>IF('11.GROWTH '!I16="","",'11.GROWTH '!I16)</f>
        <v>0.75</v>
      </c>
      <c r="J144" s="264">
        <f>IF('11.GROWTH '!J16="","",'11.GROWTH '!J16)</f>
        <v>0.75</v>
      </c>
      <c r="K144" s="264">
        <f>IF('11.GROWTH '!K16="","",'11.GROWTH '!K16)</f>
        <v>0.75</v>
      </c>
      <c r="L144" s="264">
        <f>IF('11.GROWTH '!L16="","",'11.GROWTH '!L16)</f>
        <v>0.75</v>
      </c>
      <c r="M144" s="264">
        <f>IF('11.GROWTH '!M16="","",'11.GROWTH '!M16)</f>
        <v>0.75</v>
      </c>
      <c r="N144" s="264">
        <f>IF('11.GROWTH '!N16="","",'11.GROWTH '!N16)</f>
        <v>0.75</v>
      </c>
      <c r="O144" s="264">
        <f>IF('11.GROWTH '!O16="","",'11.GROWTH '!O16)</f>
        <v>0.8</v>
      </c>
      <c r="P144" s="264">
        <f>IF('11.GROWTH '!P16="","",'11.GROWTH '!P16)</f>
        <v>0.8</v>
      </c>
      <c r="Q144" s="264">
        <f>IF('11.GROWTH '!Q16="","",'11.GROWTH '!Q16)</f>
        <v>0.8</v>
      </c>
      <c r="R144" s="264">
        <f>IF('11.GROWTH '!R16="","",'11.GROWTH '!R16)</f>
        <v>0.8</v>
      </c>
      <c r="S144" s="264">
        <f>IF('11.GROWTH '!S16="","",'11.GROWTH '!S16)</f>
        <v>0.8</v>
      </c>
      <c r="T144" s="264">
        <f>IF('11.GROWTH '!T16="","",'11.GROWTH '!T16)</f>
        <v>0.8</v>
      </c>
    </row>
    <row r="145" spans="1:20">
      <c r="A145" t="str">
        <f>'11.GROWTH '!A16</f>
        <v>EOL IB Visibility</v>
      </c>
      <c r="B145" t="str">
        <f>'11.GROWTH '!B16</f>
        <v>EOL IB Visibility (%)</v>
      </c>
      <c r="C145" t="str">
        <f>'11.GROWTH '!C16</f>
        <v>&gt;</v>
      </c>
      <c r="D145">
        <f>'11.GROWTH '!D16</f>
        <v>0.8</v>
      </c>
      <c r="E145" t="str">
        <f>'11.GROWTH '!E16</f>
        <v>%</v>
      </c>
      <c r="F145" t="str">
        <f>'11.GROWTH '!F16</f>
        <v>Higher the better</v>
      </c>
      <c r="G145" t="str">
        <f>'11.GROWTH '!G16</f>
        <v>Monthly</v>
      </c>
      <c r="H145" t="str">
        <f>IF('11.GROWTH '!H17="","",'11.GROWTH '!H17)</f>
        <v>Actual</v>
      </c>
      <c r="I145">
        <f>IF('11.GROWTH '!I17="","",'11.GROWTH '!I17)</f>
        <v>0.2923</v>
      </c>
      <c r="J145" s="264">
        <f>IF('11.GROWTH '!J17="","",'11.GROWTH '!J17)</f>
        <v>0.31709999999999999</v>
      </c>
      <c r="K145" s="264">
        <f>IF('11.GROWTH '!K17="","",'11.GROWTH '!K17)</f>
        <v>0.52500000000000002</v>
      </c>
      <c r="L145" s="264">
        <f>IF('11.GROWTH '!L17="","",'11.GROWTH '!L17)</f>
        <v>0.65900000000000003</v>
      </c>
      <c r="M145" s="264">
        <f>IF('11.GROWTH '!M17="","",'11.GROWTH '!M17)</f>
        <v>0.69699999999999995</v>
      </c>
      <c r="N145" s="264">
        <f>IF('11.GROWTH '!N17="","",'11.GROWTH '!N17)</f>
        <v>0.71299999999999997</v>
      </c>
      <c r="O145" s="264">
        <f>IF('11.GROWTH '!O17="","",'11.GROWTH '!O17)</f>
        <v>0.75700000000000001</v>
      </c>
      <c r="P145" s="264" t="str">
        <f>IF('11.GROWTH '!P17="","",'11.GROWTH '!P17)</f>
        <v/>
      </c>
      <c r="Q145" s="264" t="str">
        <f>IF('11.GROWTH '!Q17="","",'11.GROWTH '!Q17)</f>
        <v/>
      </c>
      <c r="R145" s="264" t="str">
        <f>IF('11.GROWTH '!R17="","",'11.GROWTH '!R17)</f>
        <v/>
      </c>
      <c r="S145" s="264" t="str">
        <f>IF('11.GROWTH '!S17="","",'11.GROWTH '!S17)</f>
        <v/>
      </c>
      <c r="T145" s="264" t="str">
        <f>IF('11.GROWTH '!T17="","",'11.GROWTH '!T17)</f>
        <v/>
      </c>
    </row>
    <row r="146" spans="1:20">
      <c r="A146" t="str">
        <f>'11.GROWTH '!A18</f>
        <v>Funnel Coverage</v>
      </c>
      <c r="B146" t="str">
        <f>'11.GROWTH '!B18</f>
        <v>Funnel Coverage</v>
      </c>
      <c r="C146" t="str">
        <f>'11.GROWTH '!C18</f>
        <v>&gt;=</v>
      </c>
      <c r="D146" t="str">
        <f>'11.GROWTH '!D18</f>
        <v xml:space="preserve"> AOP OIT ITM/MAT Win Rate(%)</v>
      </c>
      <c r="E146" t="str">
        <f>'11.GROWTH '!E18</f>
        <v>Mn</v>
      </c>
      <c r="F146" t="str">
        <f>'11.GROWTH '!F18</f>
        <v>Higher the better</v>
      </c>
      <c r="G146" t="str">
        <f>'11.GROWTH '!G18</f>
        <v>Monthly</v>
      </c>
      <c r="H146" t="str">
        <f>IF('11.GROWTH '!H18="","",'11.GROWTH '!H18)</f>
        <v>Target</v>
      </c>
      <c r="I146">
        <f>IF('11.GROWTH '!I18="","",'11.GROWTH '!I18)</f>
        <v>4.838709677419355</v>
      </c>
      <c r="J146">
        <f>IF('11.GROWTH '!J18="","",'11.GROWTH '!J18)</f>
        <v>14.516129032258064</v>
      </c>
      <c r="K146">
        <f>IF('11.GROWTH '!K18="","",'11.GROWTH '!K18)</f>
        <v>17.1875</v>
      </c>
      <c r="L146">
        <f>IF('11.GROWTH '!L18="","",'11.GROWTH '!L18)</f>
        <v>13.4375</v>
      </c>
      <c r="M146">
        <f>IF('11.GROWTH '!M18="","",'11.GROWTH '!M18)</f>
        <v>20.3125</v>
      </c>
      <c r="N146">
        <f>IF('11.GROWTH '!N18="","",'11.GROWTH '!N18)</f>
        <v>19.393939393939394</v>
      </c>
      <c r="O146">
        <f>IF('11.GROWTH '!O18="","",'11.GROWTH '!O18)</f>
        <v>9.9999999999999982</v>
      </c>
      <c r="P146">
        <f>IF('11.GROWTH '!P18="","",'11.GROWTH '!P18)</f>
        <v>18.484848484848484</v>
      </c>
      <c r="Q146">
        <f>IF('11.GROWTH '!Q18="","",'11.GROWTH '!Q18)</f>
        <v>18.823529411764707</v>
      </c>
      <c r="R146">
        <f>IF('11.GROWTH '!R18="","",'11.GROWTH '!R18)</f>
        <v>12.058823529411763</v>
      </c>
      <c r="S146">
        <f>IF('11.GROWTH '!S18="","",'11.GROWTH '!S18)</f>
        <v>22.352941176470587</v>
      </c>
      <c r="T146">
        <f>IF('11.GROWTH '!T18="","",'11.GROWTH '!T18)</f>
        <v>19.142857142857146</v>
      </c>
    </row>
    <row r="147" spans="1:20">
      <c r="A147" t="str">
        <f>'11.GROWTH '!A18</f>
        <v>Funnel Coverage</v>
      </c>
      <c r="B147" t="str">
        <f>'11.GROWTH '!B18</f>
        <v>Funnel Coverage</v>
      </c>
      <c r="C147" t="str">
        <f>'11.GROWTH '!C18</f>
        <v>&gt;=</v>
      </c>
      <c r="D147" t="str">
        <f>'11.GROWTH '!D18</f>
        <v xml:space="preserve"> AOP OIT ITM/MAT Win Rate(%)</v>
      </c>
      <c r="E147" t="str">
        <f>'11.GROWTH '!E18</f>
        <v>Mn</v>
      </c>
      <c r="F147" t="str">
        <f>'11.GROWTH '!F18</f>
        <v>Higher the better</v>
      </c>
      <c r="G147" t="str">
        <f>'11.GROWTH '!G18</f>
        <v>Monthly</v>
      </c>
      <c r="H147" t="str">
        <f>IF('11.GROWTH '!H19="","",'11.GROWTH '!H19)</f>
        <v>Actual</v>
      </c>
      <c r="I147">
        <f>IF('11.GROWTH '!I19="","",'11.GROWTH '!I19)</f>
        <v>6.4</v>
      </c>
      <c r="J147">
        <f>IF('11.GROWTH '!J19="","",'11.GROWTH '!J19)</f>
        <v>8.6</v>
      </c>
      <c r="K147">
        <f>IF('11.GROWTH '!K19="","",'11.GROWTH '!K19)</f>
        <v>17</v>
      </c>
      <c r="L147">
        <f>IF('11.GROWTH '!L19="","",'11.GROWTH '!L19)</f>
        <v>13</v>
      </c>
      <c r="M147" t="str">
        <f>IF('11.GROWTH '!M19="","",'11.GROWTH '!M19)</f>
        <v/>
      </c>
      <c r="N147" t="str">
        <f>IF('11.GROWTH '!N19="","",'11.GROWTH '!N19)</f>
        <v/>
      </c>
      <c r="O147" t="str">
        <f>IF('11.GROWTH '!O19="","",'11.GROWTH '!O19)</f>
        <v/>
      </c>
      <c r="P147" t="str">
        <f>IF('11.GROWTH '!P19="","",'11.GROWTH '!P19)</f>
        <v/>
      </c>
      <c r="Q147" t="str">
        <f>IF('11.GROWTH '!Q19="","",'11.GROWTH '!Q19)</f>
        <v/>
      </c>
      <c r="R147" t="str">
        <f>IF('11.GROWTH '!R19="","",'11.GROWTH '!R19)</f>
        <v/>
      </c>
      <c r="S147" t="str">
        <f>IF('11.GROWTH '!S19="","",'11.GROWTH '!S19)</f>
        <v/>
      </c>
      <c r="T147" t="str">
        <f>IF('11.GROWTH '!T19="","",'11.GROWTH '!T19)</f>
        <v/>
      </c>
    </row>
    <row r="148" spans="1:20">
      <c r="A148" t="str">
        <f>'11.GROWTH '!A20</f>
        <v>EQ Win-rate</v>
      </c>
      <c r="B148" t="str">
        <f>'11.GROWTH '!B20</f>
        <v>MAT Win Rate (%)</v>
      </c>
      <c r="C148" t="str">
        <f>'11.GROWTH '!C20</f>
        <v>&gt;=</v>
      </c>
      <c r="D148">
        <f>'11.GROWTH '!D20</f>
        <v>0.35</v>
      </c>
      <c r="E148" t="str">
        <f>'11.GROWTH '!E20</f>
        <v>%</v>
      </c>
      <c r="F148" t="str">
        <f>'11.GROWTH '!F20</f>
        <v>Higher the better</v>
      </c>
      <c r="G148" t="str">
        <f>'11.GROWTH '!G20</f>
        <v>Monthly</v>
      </c>
      <c r="H148" t="str">
        <f>IF('11.GROWTH '!H20="","",'11.GROWTH '!H20)</f>
        <v>Target</v>
      </c>
      <c r="I148">
        <f>IF('11.GROWTH '!I20="","",'11.GROWTH '!I20)</f>
        <v>0.31</v>
      </c>
      <c r="J148" s="264">
        <f>IF('11.GROWTH '!J20="","",'11.GROWTH '!J20)</f>
        <v>0.31</v>
      </c>
      <c r="K148" s="264">
        <f>IF('11.GROWTH '!K20="","",'11.GROWTH '!K20)</f>
        <v>0.32</v>
      </c>
      <c r="L148" s="264">
        <f>IF('11.GROWTH '!L20="","",'11.GROWTH '!L20)</f>
        <v>0.32</v>
      </c>
      <c r="M148" s="264">
        <f>IF('11.GROWTH '!M20="","",'11.GROWTH '!M20)</f>
        <v>0.32</v>
      </c>
      <c r="N148" s="264">
        <f>IF('11.GROWTH '!N20="","",'11.GROWTH '!N20)</f>
        <v>0.33</v>
      </c>
      <c r="O148" s="264">
        <f>IF('11.GROWTH '!O20="","",'11.GROWTH '!O20)</f>
        <v>0.33</v>
      </c>
      <c r="P148" s="264">
        <f>IF('11.GROWTH '!P20="","",'11.GROWTH '!P20)</f>
        <v>0.33</v>
      </c>
      <c r="Q148" s="264">
        <f>IF('11.GROWTH '!Q20="","",'11.GROWTH '!Q20)</f>
        <v>0.34</v>
      </c>
      <c r="R148" s="264">
        <f>IF('11.GROWTH '!R20="","",'11.GROWTH '!R20)</f>
        <v>0.34</v>
      </c>
      <c r="S148" s="264">
        <f>IF('11.GROWTH '!S20="","",'11.GROWTH '!S20)</f>
        <v>0.34</v>
      </c>
      <c r="T148" s="264">
        <f>IF('11.GROWTH '!T20="","",'11.GROWTH '!T20)</f>
        <v>0.35</v>
      </c>
    </row>
    <row r="149" spans="1:20">
      <c r="A149" t="str">
        <f>'11.GROWTH '!A20</f>
        <v>EQ Win-rate</v>
      </c>
      <c r="B149" t="str">
        <f>'11.GROWTH '!B20</f>
        <v>MAT Win Rate (%)</v>
      </c>
      <c r="C149" t="str">
        <f>'11.GROWTH '!C20</f>
        <v>&gt;=</v>
      </c>
      <c r="D149">
        <f>'11.GROWTH '!D20</f>
        <v>0.35</v>
      </c>
      <c r="E149" t="str">
        <f>'11.GROWTH '!E20</f>
        <v>%</v>
      </c>
      <c r="F149" t="str">
        <f>'11.GROWTH '!F20</f>
        <v>Higher the better</v>
      </c>
      <c r="G149" t="str">
        <f>'11.GROWTH '!G20</f>
        <v>Monthly</v>
      </c>
      <c r="H149" t="str">
        <f>IF('11.GROWTH '!H21="","",'11.GROWTH '!H21)</f>
        <v>Actual</v>
      </c>
      <c r="I149">
        <f>IF('11.GROWTH '!I21="","",'11.GROWTH '!I21)</f>
        <v>0.34899999999999998</v>
      </c>
      <c r="J149" s="264">
        <f>IF('11.GROWTH '!J21="","",'11.GROWTH '!J21)</f>
        <v>0.35299999999999998</v>
      </c>
      <c r="K149" s="264">
        <f>IF('11.GROWTH '!K21="","",'11.GROWTH '!K21)</f>
        <v>0.35</v>
      </c>
      <c r="L149" s="264">
        <f>IF('11.GROWTH '!L21="","",'11.GROWTH '!L21)</f>
        <v>0.35599999999999998</v>
      </c>
      <c r="M149" s="264" t="str">
        <f>IF('11.GROWTH '!M21="","",'11.GROWTH '!M21)</f>
        <v/>
      </c>
      <c r="N149" s="264" t="str">
        <f>IF('11.GROWTH '!N21="","",'11.GROWTH '!N21)</f>
        <v/>
      </c>
      <c r="O149" s="264" t="str">
        <f>IF('11.GROWTH '!O21="","",'11.GROWTH '!O21)</f>
        <v/>
      </c>
      <c r="P149" s="264" t="str">
        <f>IF('11.GROWTH '!P21="","",'11.GROWTH '!P21)</f>
        <v/>
      </c>
      <c r="Q149" s="264" t="str">
        <f>IF('11.GROWTH '!Q21="","",'11.GROWTH '!Q21)</f>
        <v/>
      </c>
      <c r="R149" s="264" t="str">
        <f>IF('11.GROWTH '!R21="","",'11.GROWTH '!R21)</f>
        <v/>
      </c>
      <c r="S149" s="264" t="str">
        <f>IF('11.GROWTH '!S21="","",'11.GROWTH '!S21)</f>
        <v/>
      </c>
      <c r="T149" s="264" t="str">
        <f>IF('11.GROWTH '!T21="","",'11.GROWTH '!T21)</f>
        <v/>
      </c>
    </row>
    <row r="150" spans="1:20">
      <c r="A150" t="str">
        <f>'11.GROWTH '!A22</f>
        <v>OIT YTD for B&amp;B</v>
      </c>
      <c r="B150" t="str">
        <f>'11.GROWTH '!B22</f>
        <v>Total OIT YTD  with RDD in FY26</v>
      </c>
      <c r="C150" t="str">
        <f>'11.GROWTH '!C22</f>
        <v>&gt;=</v>
      </c>
      <c r="D150">
        <f>'11.GROWTH '!D22</f>
        <v>44</v>
      </c>
      <c r="E150" t="str">
        <f>'11.GROWTH '!E22</f>
        <v>Mn</v>
      </c>
      <c r="F150" t="str">
        <f>'11.GROWTH '!F22</f>
        <v>Higher the better</v>
      </c>
      <c r="G150" t="str">
        <f>'11.GROWTH '!G22</f>
        <v>Monthly</v>
      </c>
      <c r="H150" t="str">
        <f>IF('11.GROWTH '!H22="","",'11.GROWTH '!H22)</f>
        <v>Target</v>
      </c>
      <c r="I150">
        <f>IF('11.GROWTH '!I22="","",'11.GROWTH '!I22)</f>
        <v>1.5</v>
      </c>
      <c r="J150">
        <f>IF('11.GROWTH '!J22="","",'11.GROWTH '!J22)</f>
        <v>6</v>
      </c>
      <c r="K150">
        <f>IF('11.GROWTH '!K22="","",'11.GROWTH '!K22)</f>
        <v>11.5</v>
      </c>
      <c r="L150">
        <f>IF('11.GROWTH '!L22="","",'11.GROWTH '!L22)</f>
        <v>15.8</v>
      </c>
      <c r="M150">
        <f>IF('11.GROWTH '!M22="","",'11.GROWTH '!M22)</f>
        <v>22.3</v>
      </c>
      <c r="N150">
        <f>IF('11.GROWTH '!N22="","",'11.GROWTH '!N22)</f>
        <v>28.700000000000003</v>
      </c>
      <c r="O150">
        <f>IF('11.GROWTH '!O22="","",'11.GROWTH '!O22)</f>
        <v>32</v>
      </c>
      <c r="P150">
        <f>IF('11.GROWTH '!P22="","",'11.GROWTH '!P22)</f>
        <v>38.1</v>
      </c>
      <c r="Q150">
        <f>IF('11.GROWTH '!Q22="","",'11.GROWTH '!Q22)</f>
        <v>44</v>
      </c>
      <c r="R150">
        <f>IF('11.GROWTH '!R22="","",'11.GROWTH '!R22)</f>
        <v>44</v>
      </c>
      <c r="S150">
        <f>IF('11.GROWTH '!S22="","",'11.GROWTH '!S22)</f>
        <v>44</v>
      </c>
      <c r="T150">
        <f>IF('11.GROWTH '!T22="","",'11.GROWTH '!T22)</f>
        <v>44</v>
      </c>
    </row>
    <row r="151" spans="1:20">
      <c r="A151" t="str">
        <f>'11.GROWTH '!A22</f>
        <v>OIT YTD for B&amp;B</v>
      </c>
      <c r="B151" t="str">
        <f>'11.GROWTH '!B22</f>
        <v>Total OIT YTD  with RDD in FY26</v>
      </c>
      <c r="C151" t="str">
        <f>'11.GROWTH '!C22</f>
        <v>&gt;=</v>
      </c>
      <c r="D151">
        <f>'11.GROWTH '!D22</f>
        <v>44</v>
      </c>
      <c r="E151" t="str">
        <f>'11.GROWTH '!E22</f>
        <v>Mn</v>
      </c>
      <c r="F151" t="str">
        <f>'11.GROWTH '!F22</f>
        <v>Higher the better</v>
      </c>
      <c r="G151" t="str">
        <f>'11.GROWTH '!G22</f>
        <v>Monthly</v>
      </c>
      <c r="H151" t="str">
        <f>IF('11.GROWTH '!H23="","",'11.GROWTH '!H23)</f>
        <v>Actual</v>
      </c>
      <c r="I151">
        <f>IF('11.GROWTH '!I23="","",'11.GROWTH '!I23)</f>
        <v>2.1</v>
      </c>
      <c r="J151">
        <f>IF('11.GROWTH '!J23="","",'11.GROWTH '!J23)</f>
        <v>5.5</v>
      </c>
      <c r="K151">
        <f>IF('11.GROWTH '!K23="","",'11.GROWTH '!K23)</f>
        <v>14.2</v>
      </c>
      <c r="L151">
        <f>IF('11.GROWTH '!L23="","",'11.GROWTH '!L23)</f>
        <v>15.5</v>
      </c>
      <c r="M151" t="str">
        <f>IF('11.GROWTH '!M23="","",'11.GROWTH '!M23)</f>
        <v/>
      </c>
      <c r="N151" t="str">
        <f>IF('11.GROWTH '!N23="","",'11.GROWTH '!N23)</f>
        <v/>
      </c>
      <c r="O151" t="str">
        <f>IF('11.GROWTH '!O23="","",'11.GROWTH '!O23)</f>
        <v/>
      </c>
      <c r="P151" t="str">
        <f>IF('11.GROWTH '!P23="","",'11.GROWTH '!P23)</f>
        <v/>
      </c>
      <c r="Q151" t="str">
        <f>IF('11.GROWTH '!Q23="","",'11.GROWTH '!Q23)</f>
        <v/>
      </c>
      <c r="R151" t="str">
        <f>IF('11.GROWTH '!R23="","",'11.GROWTH '!R23)</f>
        <v/>
      </c>
      <c r="S151" t="str">
        <f>IF('11.GROWTH '!S23="","",'11.GROWTH '!S23)</f>
        <v/>
      </c>
      <c r="T151" t="str">
        <f>IF('11.GROWTH '!T23="","",'11.GROWTH '!T23)</f>
        <v/>
      </c>
    </row>
    <row r="152" spans="1:20">
      <c r="A152" t="str">
        <f>'11.GROWTH '!A24</f>
        <v>PoS Attachment Rate</v>
      </c>
      <c r="B152" t="str">
        <f>'11.GROWTH '!B24</f>
        <v>12MR PoS%</v>
      </c>
      <c r="C152" t="str">
        <f>'11.GROWTH '!C24</f>
        <v>&gt;=</v>
      </c>
      <c r="D152" t="str">
        <f>'11.GROWTH '!D24</f>
        <v>40% (vs. 51.2% in FY'25)</v>
      </c>
      <c r="E152" t="str">
        <f>'11.GROWTH '!E24</f>
        <v>%</v>
      </c>
      <c r="F152" t="str">
        <f>'11.GROWTH '!F24</f>
        <v>Higher the better</v>
      </c>
      <c r="G152" t="str">
        <f>'11.GROWTH '!G24</f>
        <v>Monthly</v>
      </c>
      <c r="H152" t="str">
        <f>IF('11.GROWTH '!H24="","",'11.GROWTH '!H24)</f>
        <v>Target</v>
      </c>
      <c r="I152">
        <f>IF('11.GROWTH '!I24="","",'11.GROWTH '!I24)</f>
        <v>0.4</v>
      </c>
      <c r="J152" s="264">
        <f>IF('11.GROWTH '!J24="","",'11.GROWTH '!J24)</f>
        <v>0.4</v>
      </c>
      <c r="K152" s="264">
        <f>IF('11.GROWTH '!K24="","",'11.GROWTH '!K24)</f>
        <v>0.4</v>
      </c>
      <c r="L152" s="264">
        <f>IF('11.GROWTH '!L24="","",'11.GROWTH '!L24)</f>
        <v>0.4</v>
      </c>
      <c r="M152" s="264">
        <f>IF('11.GROWTH '!M24="","",'11.GROWTH '!M24)</f>
        <v>0.4</v>
      </c>
      <c r="N152" s="264">
        <f>IF('11.GROWTH '!N24="","",'11.GROWTH '!N24)</f>
        <v>0.4</v>
      </c>
      <c r="O152" s="264">
        <f>IF('11.GROWTH '!O24="","",'11.GROWTH '!O24)</f>
        <v>0.4</v>
      </c>
      <c r="P152" s="264">
        <f>IF('11.GROWTH '!P24="","",'11.GROWTH '!P24)</f>
        <v>0.4</v>
      </c>
      <c r="Q152" s="264">
        <f>IF('11.GROWTH '!Q24="","",'11.GROWTH '!Q24)</f>
        <v>0.4</v>
      </c>
      <c r="R152" s="264">
        <f>IF('11.GROWTH '!R24="","",'11.GROWTH '!R24)</f>
        <v>0.4</v>
      </c>
      <c r="S152" s="264">
        <f>IF('11.GROWTH '!S24="","",'11.GROWTH '!S24)</f>
        <v>0.4</v>
      </c>
      <c r="T152" s="264">
        <f>IF('11.GROWTH '!T24="","",'11.GROWTH '!T24)</f>
        <v>0.4</v>
      </c>
    </row>
    <row r="153" spans="1:20">
      <c r="A153" t="str">
        <f>'11.GROWTH '!A24</f>
        <v>PoS Attachment Rate</v>
      </c>
      <c r="B153" t="str">
        <f>'11.GROWTH '!B24</f>
        <v>12MR PoS%</v>
      </c>
      <c r="C153" t="str">
        <f>'11.GROWTH '!C24</f>
        <v>&gt;=</v>
      </c>
      <c r="D153" t="str">
        <f>'11.GROWTH '!D24</f>
        <v>40% (vs. 51.2% in FY'25)</v>
      </c>
      <c r="E153" t="str">
        <f>'11.GROWTH '!E24</f>
        <v>%</v>
      </c>
      <c r="F153" t="str">
        <f>'11.GROWTH '!F24</f>
        <v>Higher the better</v>
      </c>
      <c r="G153" t="str">
        <f>'11.GROWTH '!G24</f>
        <v>Monthly</v>
      </c>
      <c r="H153" t="str">
        <f>IF('11.GROWTH '!H25="","",'11.GROWTH '!H25)</f>
        <v>Actual</v>
      </c>
      <c r="I153">
        <f>IF('11.GROWTH '!I25="","",'11.GROWTH '!I25)</f>
        <v>0.51700000000000002</v>
      </c>
      <c r="J153" s="264">
        <f>IF('11.GROWTH '!J25="","",'11.GROWTH '!J25)</f>
        <v>0.52200000000000002</v>
      </c>
      <c r="K153" s="264">
        <f>IF('11.GROWTH '!K25="","",'11.GROWTH '!K25)</f>
        <v>0.5</v>
      </c>
      <c r="L153" s="264">
        <f>IF('11.GROWTH '!L25="","",'11.GROWTH '!L25)</f>
        <v>0.497</v>
      </c>
      <c r="M153" s="264">
        <f>IF('11.GROWTH '!M25="","",'11.GROWTH '!M25)</f>
        <v>0.47299999999999998</v>
      </c>
      <c r="N153" s="264">
        <f>IF('11.GROWTH '!N25="","",'11.GROWTH '!N25)</f>
        <v>0.35899999999999999</v>
      </c>
      <c r="O153" s="264">
        <f>IF('11.GROWTH '!O25="","",'11.GROWTH '!O25)</f>
        <v>0.377</v>
      </c>
      <c r="P153" s="264" t="str">
        <f>IF('11.GROWTH '!P25="","",'11.GROWTH '!P25)</f>
        <v/>
      </c>
      <c r="Q153" s="264" t="str">
        <f>IF('11.GROWTH '!Q25="","",'11.GROWTH '!Q25)</f>
        <v/>
      </c>
      <c r="R153" s="264" t="str">
        <f>IF('11.GROWTH '!R25="","",'11.GROWTH '!R25)</f>
        <v/>
      </c>
      <c r="S153" s="264" t="str">
        <f>IF('11.GROWTH '!S25="","",'11.GROWTH '!S25)</f>
        <v/>
      </c>
      <c r="T153" s="264" t="str">
        <f>IF('11.GROWTH '!T25="","",'11.GROWTH '!T25)</f>
        <v/>
      </c>
    </row>
    <row r="154" spans="1:20">
      <c r="A154" t="str">
        <f>'11.GROWTH '!A26</f>
        <v xml:space="preserve"> Profitability</v>
      </c>
      <c r="B154" t="str">
        <f>'11.GROWTH '!B26</f>
        <v>Integral IGM (%)</v>
      </c>
      <c r="C154" t="str">
        <f>'11.GROWTH '!C26</f>
        <v>&gt;=</v>
      </c>
      <c r="D154" t="str">
        <f>'11.GROWTH '!D26</f>
        <v>38.3% FY'26</v>
      </c>
      <c r="E154" t="str">
        <f>'11.GROWTH '!E26</f>
        <v>%</v>
      </c>
      <c r="F154" t="str">
        <f>'11.GROWTH '!F26</f>
        <v>Higher the better</v>
      </c>
      <c r="G154" t="str">
        <f>'11.GROWTH '!G26</f>
        <v>Quarterly</v>
      </c>
      <c r="H154" t="str">
        <f>IF('11.GROWTH '!H26="","",'11.GROWTH '!H26)</f>
        <v>Target</v>
      </c>
      <c r="I154" t="str">
        <f>IF('11.GROWTH '!I26="","",'11.GROWTH '!I26)</f>
        <v/>
      </c>
      <c r="J154" s="264" t="str">
        <f>IF('11.GROWTH '!J26="","",'11.GROWTH '!J26)</f>
        <v/>
      </c>
      <c r="K154" s="264">
        <f>IF('11.GROWTH '!K26="","",'11.GROWTH '!K26)</f>
        <v>0.40200000000000002</v>
      </c>
      <c r="L154" s="264" t="str">
        <f>IF('11.GROWTH '!L26="","",'11.GROWTH '!L26)</f>
        <v/>
      </c>
      <c r="M154" s="264" t="str">
        <f>IF('11.GROWTH '!M26="","",'11.GROWTH '!M26)</f>
        <v/>
      </c>
      <c r="N154" s="264">
        <f>IF('11.GROWTH '!N26="","",'11.GROWTH '!N26)</f>
        <v>0.36199999999999999</v>
      </c>
      <c r="O154" s="264" t="str">
        <f>IF('11.GROWTH '!O26="","",'11.GROWTH '!O26)</f>
        <v/>
      </c>
      <c r="P154" s="264" t="str">
        <f>IF('11.GROWTH '!P26="","",'11.GROWTH '!P26)</f>
        <v/>
      </c>
      <c r="Q154" s="264">
        <f>IF('11.GROWTH '!Q26="","",'11.GROWTH '!Q26)</f>
        <v>0.41299999999999998</v>
      </c>
      <c r="R154" s="264" t="str">
        <f>IF('11.GROWTH '!R26="","",'11.GROWTH '!R26)</f>
        <v/>
      </c>
      <c r="S154" s="264" t="str">
        <f>IF('11.GROWTH '!S26="","",'11.GROWTH '!S26)</f>
        <v/>
      </c>
      <c r="T154" s="264">
        <f>IF('11.GROWTH '!T26="","",'11.GROWTH '!T26)</f>
        <v>0.36599999999999999</v>
      </c>
    </row>
    <row r="155" spans="1:20">
      <c r="A155" t="str">
        <f>'11.GROWTH '!A26</f>
        <v xml:space="preserve"> Profitability</v>
      </c>
      <c r="B155" t="str">
        <f>'11.GROWTH '!B26</f>
        <v>Integral IGM (%)</v>
      </c>
      <c r="C155" t="str">
        <f>'11.GROWTH '!C26</f>
        <v>&gt;=</v>
      </c>
      <c r="D155" t="str">
        <f>'11.GROWTH '!D26</f>
        <v>38.3% FY'26</v>
      </c>
      <c r="E155" t="str">
        <f>'11.GROWTH '!E26</f>
        <v>%</v>
      </c>
      <c r="F155" t="str">
        <f>'11.GROWTH '!F26</f>
        <v>Higher the better</v>
      </c>
      <c r="G155" t="str">
        <f>'11.GROWTH '!G26</f>
        <v>Quarterly</v>
      </c>
      <c r="H155" t="str">
        <f>IF('11.GROWTH '!H27="","",'11.GROWTH '!H27)</f>
        <v>Actual</v>
      </c>
      <c r="I155" t="str">
        <f>IF('11.GROWTH '!I27="","",'11.GROWTH '!I27)</f>
        <v/>
      </c>
      <c r="J155" s="264" t="str">
        <f>IF('11.GROWTH '!J27="","",'11.GROWTH '!J27)</f>
        <v/>
      </c>
      <c r="K155" s="264">
        <f>IF('11.GROWTH '!K27="","",'11.GROWTH '!K27)</f>
        <v>0.40235294117647058</v>
      </c>
      <c r="L155" s="264" t="str">
        <f>IF('11.GROWTH '!L27="","",'11.GROWTH '!L27)</f>
        <v/>
      </c>
      <c r="M155" s="264" t="str">
        <f>IF('11.GROWTH '!M27="","",'11.GROWTH '!M27)</f>
        <v/>
      </c>
      <c r="N155" s="264" t="str">
        <f>IF('11.GROWTH '!N27="","",'11.GROWTH '!N27)</f>
        <v/>
      </c>
      <c r="O155" s="264" t="str">
        <f>IF('11.GROWTH '!O27="","",'11.GROWTH '!O27)</f>
        <v/>
      </c>
      <c r="P155" s="264" t="str">
        <f>IF('11.GROWTH '!P27="","",'11.GROWTH '!P27)</f>
        <v/>
      </c>
      <c r="Q155" s="264" t="str">
        <f>IF('11.GROWTH '!Q27="","",'11.GROWTH '!Q27)</f>
        <v/>
      </c>
      <c r="R155" s="264" t="str">
        <f>IF('11.GROWTH '!R27="","",'11.GROWTH '!R27)</f>
        <v/>
      </c>
      <c r="S155" s="264" t="str">
        <f>IF('11.GROWTH '!S27="","",'11.GROWTH '!S27)</f>
        <v/>
      </c>
      <c r="T155" s="264" t="str">
        <f>IF('11.GROWTH '!T27="","",'11.GROWTH '!T27)</f>
        <v/>
      </c>
    </row>
    <row r="156" spans="1:20">
      <c r="E156" t="s">
        <v>86</v>
      </c>
      <c r="H156" t="s">
        <v>87</v>
      </c>
    </row>
  </sheetData>
  <pageMargins left="0.7" right="0.7" top="0.75" bottom="0.75" header="0.3" footer="0.3"/>
  <customProperties>
    <customPr name="_pios_id" r:id="rId1"/>
  </customProperties>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1BE92-32E9-4063-8639-EEA15FBE8F40}">
  <sheetPr codeName="Sheet2"/>
  <dimension ref="A1:AI109"/>
  <sheetViews>
    <sheetView zoomScale="90" zoomScaleNormal="90" workbookViewId="0">
      <pane xSplit="1" ySplit="5" topLeftCell="B12" activePane="bottomRight" state="frozen"/>
      <selection pane="bottomRight" activeCell="A10" sqref="A10:A15"/>
      <selection pane="bottomLeft" activeCell="A6" sqref="A6"/>
      <selection pane="topRight" activeCell="B1" sqref="B1"/>
    </sheetView>
  </sheetViews>
  <sheetFormatPr defaultRowHeight="14.45"/>
  <cols>
    <col min="1" max="1" width="38.5703125" customWidth="1"/>
    <col min="2" max="2" width="25" style="269" customWidth="1"/>
    <col min="3" max="3" width="25" customWidth="1"/>
    <col min="4" max="4" width="27.5703125" bestFit="1" customWidth="1"/>
    <col min="5" max="5" width="15.5703125" customWidth="1"/>
    <col min="6" max="6" width="17.5703125" customWidth="1"/>
    <col min="7" max="7" width="10.5703125" customWidth="1"/>
    <col min="8" max="8" width="14.5703125"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9.42578125" customWidth="1"/>
    <col min="23" max="23" width="11.5703125" hidden="1" customWidth="1"/>
    <col min="24" max="24" width="5.42578125" hidden="1" customWidth="1"/>
    <col min="25" max="25" width="14.42578125" hidden="1" customWidth="1"/>
    <col min="26" max="35" width="8.5703125" hidden="1" customWidth="1"/>
    <col min="36" max="36" width="9.42578125" customWidth="1"/>
    <col min="37" max="49" width="8.5703125" customWidth="1"/>
  </cols>
  <sheetData>
    <row r="1" spans="1:35" ht="19.350000000000001" customHeight="1">
      <c r="A1" s="12" t="s">
        <v>0</v>
      </c>
      <c r="B1" s="30">
        <v>46023</v>
      </c>
      <c r="C1" s="12" t="s">
        <v>88</v>
      </c>
      <c r="D1" s="121" t="s">
        <v>28</v>
      </c>
      <c r="E1" s="12" t="s">
        <v>89</v>
      </c>
      <c r="F1" s="39"/>
      <c r="W1" t="s">
        <v>90</v>
      </c>
      <c r="X1" t="e">
        <f>IF(I21&lt;&gt;"",IF($F20="Higher the better",IF(I21&gt;=I20,I21,NA()),IF(I21&lt;=I20,I21,NA())),NA())</f>
        <v>#N/A</v>
      </c>
      <c r="Y1" t="e">
        <f t="shared" ref="Y1" si="0">IF(J21&lt;&gt;"",IF($F20="Higher the better",IF(J21&gt;=J20,J21,NA()),IF(J21&lt;=J20,J21,NA())),NA())</f>
        <v>#N/A</v>
      </c>
      <c r="Z1" t="e">
        <f t="shared" ref="Z1" si="1">IF(K21&lt;&gt;"",IF($F20="Higher the better",IF(K21&gt;=K20,K21,NA()),IF(K21&lt;=K20,K21,NA())),NA())</f>
        <v>#N/A</v>
      </c>
      <c r="AA1" t="e">
        <f t="shared" ref="AA1" si="2">IF(L21&lt;&gt;"",IF($F20="Higher the better",IF(L21&gt;=L20,L21,NA()),IF(L21&lt;=L20,L21,NA())),NA())</f>
        <v>#N/A</v>
      </c>
      <c r="AB1" t="e">
        <f t="shared" ref="AB1" si="3">IF(M21&lt;&gt;"",IF($F20="Higher the better",IF(M21&gt;=M20,M21,NA()),IF(M21&lt;=M20,M21,NA())),NA())</f>
        <v>#N/A</v>
      </c>
      <c r="AC1" t="e">
        <f t="shared" ref="AC1" si="4">IF(N21&lt;&gt;"",IF($F20="Higher the better",IF(N21&gt;=N20,N21,NA()),IF(N21&lt;=N20,N21,NA())),NA())</f>
        <v>#N/A</v>
      </c>
      <c r="AD1" t="e">
        <f t="shared" ref="AD1" si="5">IF(O21&lt;&gt;"",IF($F20="Higher the better",IF(O21&gt;=O20,O21,NA()),IF(O21&lt;=O20,O21,NA())),NA())</f>
        <v>#N/A</v>
      </c>
      <c r="AE1" t="e">
        <f t="shared" ref="AE1" si="6">IF(P21&lt;&gt;"",IF($F20="Higher the better",IF(P21&gt;=P20,P21,NA()),IF(P21&lt;=P20,P21,NA())),NA())</f>
        <v>#N/A</v>
      </c>
      <c r="AF1" t="e">
        <f t="shared" ref="AF1" si="7">IF(Q21&lt;&gt;"",IF($F20="Higher the better",IF(Q21&gt;=Q20,Q21,NA()),IF(Q21&lt;=Q20,Q21,NA())),NA())</f>
        <v>#N/A</v>
      </c>
      <c r="AG1" t="e">
        <f t="shared" ref="AG1" si="8">IF(R21&lt;&gt;"",IF($F20="Higher the better",IF(R21&gt;=R20,R21,NA()),IF(R21&lt;=R20,R21,NA())),NA())</f>
        <v>#N/A</v>
      </c>
      <c r="AH1" t="e">
        <f t="shared" ref="AH1" si="9">IF(S21&lt;&gt;"",IF($F20="Higher the better",IF(S21&gt;=S20,S21,NA()),IF(S21&lt;=S20,S21,NA())),NA())</f>
        <v>#N/A</v>
      </c>
      <c r="AI1" t="e">
        <f t="shared" ref="AI1" si="10">IF(T21&lt;&gt;"",IF($F20="Higher the better",IF(T21&gt;=T20,T21,NA()),IF(T21&lt;=T20,T21,NA())),NA())</f>
        <v>#N/A</v>
      </c>
    </row>
    <row r="2" spans="1:35" ht="19.350000000000001" customHeight="1">
      <c r="A2" s="13"/>
      <c r="B2" s="37"/>
      <c r="D2" s="13"/>
      <c r="E2" s="13"/>
      <c r="W2" t="s">
        <v>91</v>
      </c>
      <c r="X2">
        <f>IF(I21&lt;&gt;"",IF($F20="Higher the better",IF(I21&lt;I20,I21,NA()),IF(I21&gt;I20,I21,NA())),NA())</f>
        <v>0.22</v>
      </c>
      <c r="Y2">
        <f t="shared" ref="Y2" si="11">IF(J21&lt;&gt;"",IF($F20="Higher the better",IF(J21&lt;J20,J21,NA()),IF(J21&gt;J20,J21,NA())),NA())</f>
        <v>0.4</v>
      </c>
      <c r="Z2">
        <f t="shared" ref="Z2" si="12">IF(K21&lt;&gt;"",IF($F20="Higher the better",IF(K21&lt;K20,K21,NA()),IF(K21&gt;K20,K21,NA())),NA())</f>
        <v>0.22</v>
      </c>
      <c r="AA2">
        <f t="shared" ref="AA2" si="13">IF(L21&lt;&gt;"",IF($F20="Higher the better",IF(L21&lt;L20,L21,NA()),IF(L21&gt;L20,L21,NA())),NA())</f>
        <v>0.4</v>
      </c>
      <c r="AB2">
        <f t="shared" ref="AB2" si="14">IF(M21&lt;&gt;"",IF($F20="Higher the better",IF(M21&lt;M20,M21,NA()),IF(M21&gt;M20,M21,NA())),NA())</f>
        <v>0.875</v>
      </c>
      <c r="AC2">
        <f t="shared" ref="AC2" si="15">IF(N21&lt;&gt;"",IF($F20="Higher the better",IF(N21&lt;N20,N21,NA()),IF(N21&gt;N20,N21,NA())),NA())</f>
        <v>0.3</v>
      </c>
      <c r="AD2">
        <f t="shared" ref="AD2" si="16">IF(O21&lt;&gt;"",IF($F20="Higher the better",IF(O21&lt;O20,O21,NA()),IF(O21&gt;O20,O21,NA())),NA())</f>
        <v>0.4</v>
      </c>
      <c r="AE2">
        <f t="shared" ref="AE2" si="17">IF(P21&lt;&gt;"",IF($F20="Higher the better",IF(P21&lt;P20,P21,NA()),IF(P21&gt;P20,P21,NA())),NA())</f>
        <v>0.83</v>
      </c>
      <c r="AF2" t="e">
        <f t="shared" ref="AF2" si="18">IF(Q21&lt;&gt;"",IF($F20="Higher the better",IF(Q21&lt;Q20,Q21,NA()),IF(Q21&gt;Q20,Q21,NA())),NA())</f>
        <v>#N/A</v>
      </c>
      <c r="AG2" t="e">
        <f t="shared" ref="AG2" si="19">IF(R21&lt;&gt;"",IF($F20="Higher the better",IF(R21&lt;R20,R21,NA()),IF(R21&gt;R20,R21,NA())),NA())</f>
        <v>#N/A</v>
      </c>
      <c r="AH2" t="e">
        <f t="shared" ref="AH2" si="20">IF(S21&lt;&gt;"",IF($F20="Higher the better",IF(S21&lt;S20,S21,NA()),IF(S21&gt;S20,S21,NA())),NA())</f>
        <v>#N/A</v>
      </c>
      <c r="AI2" t="e">
        <f t="shared" ref="AI2" si="21">IF(T21&lt;&gt;"",IF($F20="Higher the better",IF(T21&lt;T20,T21,NA()),IF(T21&gt;T20,T21,NA())),NA())</f>
        <v>#N/A</v>
      </c>
    </row>
    <row r="3" spans="1:35" ht="20.100000000000001" customHeight="1">
      <c r="A3" s="347" t="s">
        <v>92</v>
      </c>
      <c r="B3" s="347"/>
      <c r="W3" t="s">
        <v>90</v>
      </c>
      <c r="X3">
        <f>IF(I23&lt;&gt;"",IF($F22="Higher the better",IF(I23&gt;=I22,I23,NA()),IF(I23&lt;=I22,I23,NA())),NA())</f>
        <v>6</v>
      </c>
      <c r="Y3">
        <f t="shared" ref="Y3" si="22">IF(J23&lt;&gt;"",IF($F22="Higher the better",IF(J23&gt;=J22,J23,NA()),IF(J23&lt;=J22,J23,NA())),NA())</f>
        <v>5</v>
      </c>
      <c r="Z3">
        <f t="shared" ref="Z3" si="23">IF(K23&lt;&gt;"",IF($F22="Higher the better",IF(K23&gt;=K22,K23,NA()),IF(K23&lt;=K22,K23,NA())),NA())</f>
        <v>5</v>
      </c>
      <c r="AA3">
        <f t="shared" ref="AA3" si="24">IF(L23&lt;&gt;"",IF($F22="Higher the better",IF(L23&gt;=L22,L23,NA()),IF(L23&lt;=L22,L23,NA())),NA())</f>
        <v>4</v>
      </c>
      <c r="AB3">
        <f t="shared" ref="AB3" si="25">IF(M23&lt;&gt;"",IF($F22="Higher the better",IF(M23&gt;=M22,M23,NA()),IF(M23&lt;=M22,M23,NA())),NA())</f>
        <v>4</v>
      </c>
      <c r="AC3">
        <f t="shared" ref="AC3" si="26">IF(N23&lt;&gt;"",IF($F22="Higher the better",IF(N23&gt;=N22,N23,NA()),IF(N23&lt;=N22,N23,NA())),NA())</f>
        <v>4</v>
      </c>
      <c r="AD3">
        <f t="shared" ref="AD3" si="27">IF(O23&lt;&gt;"",IF($F22="Higher the better",IF(O23&gt;=O22,O23,NA()),IF(O23&lt;=O22,O23,NA())),NA())</f>
        <v>4</v>
      </c>
      <c r="AE3">
        <f t="shared" ref="AE3" si="28">IF(P23&lt;&gt;"",IF($F22="Higher the better",IF(P23&gt;=P22,P23,NA()),IF(P23&lt;=P22,P23,NA())),NA())</f>
        <v>2</v>
      </c>
      <c r="AF3" t="e">
        <f t="shared" ref="AF3" si="29">IF(Q23&lt;&gt;"",IF($F22="Higher the better",IF(Q23&gt;=Q22,Q23,NA()),IF(Q23&lt;=Q22,Q23,NA())),NA())</f>
        <v>#N/A</v>
      </c>
      <c r="AG3" t="e">
        <f t="shared" ref="AG3" si="30">IF(R23&lt;&gt;"",IF($F22="Higher the better",IF(R23&gt;=R22,R23,NA()),IF(R23&lt;=R22,R23,NA())),NA())</f>
        <v>#N/A</v>
      </c>
      <c r="AH3" t="e">
        <f t="shared" ref="AH3" si="31">IF(S23&lt;&gt;"",IF($F22="Higher the better",IF(S23&gt;=S22,S23,NA()),IF(S23&lt;=S22,S23,NA())),NA())</f>
        <v>#N/A</v>
      </c>
      <c r="AI3" t="e">
        <f t="shared" ref="AI3" si="32">IF(T23&lt;&gt;"",IF($F22="Higher the better",IF(T23&gt;=T22,T23,NA()),IF(T23&lt;=T22,T23,NA())),NA())</f>
        <v>#N/A</v>
      </c>
    </row>
    <row r="4" spans="1:35" ht="18.600000000000001" customHeight="1">
      <c r="A4" s="11" t="s">
        <v>93</v>
      </c>
      <c r="B4" s="268"/>
      <c r="W4" t="s">
        <v>91</v>
      </c>
      <c r="X4" t="e" cm="1">
        <f t="array" ref="X4">IF(I23&lt;&gt;"",IF($F22="Higher the better",IF(I23&lt;X5I22,I23,NA()),IF(I23&gt;I22,I23,NA())),NA())</f>
        <v>#N/A</v>
      </c>
      <c r="Y4" t="e">
        <f t="shared" ref="Y4" si="33">IF(J23&lt;&gt;"",IF($F22="Higher the better",IF(J23&lt;J22,J23,NA()),IF(J23&gt;J22,J23,NA())),NA())</f>
        <v>#N/A</v>
      </c>
      <c r="Z4" t="e">
        <f t="shared" ref="Z4" si="34">IF(K23&lt;&gt;"",IF($F22="Higher the better",IF(K23&lt;K22,K23,NA()),IF(K23&gt;K22,K23,NA())),NA())</f>
        <v>#N/A</v>
      </c>
      <c r="AA4" t="e">
        <f t="shared" ref="AA4" si="35">IF(L23&lt;&gt;"",IF($F22="Higher the better",IF(L23&lt;L22,L23,NA()),IF(L23&gt;L22,L23,NA())),NA())</f>
        <v>#N/A</v>
      </c>
      <c r="AB4" t="e">
        <f t="shared" ref="AB4" si="36">IF(M23&lt;&gt;"",IF($F22="Higher the better",IF(M23&lt;M22,M23,NA()),IF(M23&gt;M22,M23,NA())),NA())</f>
        <v>#N/A</v>
      </c>
      <c r="AC4" t="e">
        <f t="shared" ref="AC4" si="37">IF(N23&lt;&gt;"",IF($F22="Higher the better",IF(N23&lt;N22,N23,NA()),IF(N23&gt;N22,N23,NA())),NA())</f>
        <v>#N/A</v>
      </c>
      <c r="AD4" t="e">
        <f t="shared" ref="AD4" si="38">IF(O23&lt;&gt;"",IF($F22="Higher the better",IF(O23&lt;O22,O23,NA()),IF(O23&gt;O22,O23,NA())),NA())</f>
        <v>#N/A</v>
      </c>
      <c r="AE4" t="e">
        <f t="shared" ref="AE4" si="39">IF(P23&lt;&gt;"",IF($F22="Higher the better",IF(P23&lt;P22,P23,NA()),IF(P23&gt;P22,P23,NA())),NA())</f>
        <v>#N/A</v>
      </c>
      <c r="AF4" t="e">
        <f t="shared" ref="AF4" si="40">IF(Q23&lt;&gt;"",IF($F22="Higher the better",IF(Q23&lt;Q22,Q23,NA()),IF(Q23&gt;Q22,Q23,NA())),NA())</f>
        <v>#N/A</v>
      </c>
      <c r="AG4" t="e">
        <f t="shared" ref="AG4" si="41">IF(R23&lt;&gt;"",IF($F22="Higher the better",IF(R23&lt;R22,R23,NA()),IF(R23&gt;R22,R23,NA())),NA())</f>
        <v>#N/A</v>
      </c>
      <c r="AH4" t="e">
        <f t="shared" ref="AH4" si="42">IF(S23&lt;&gt;"",IF($F22="Higher the better",IF(S23&lt;S22,S23,NA()),IF(S23&gt;S22,S23,NA())),NA())</f>
        <v>#N/A</v>
      </c>
      <c r="AI4" t="e">
        <f t="shared" ref="AI4" si="43">IF(T23&lt;&gt;"",IF($F22="Higher the better",IF(T23&lt;T22,T23,NA()),IF(T23&gt;T22,T23,NA())),NA())</f>
        <v>#N/A</v>
      </c>
    </row>
    <row r="5" spans="1:35" ht="29.1" customHeight="1">
      <c r="A5" s="267" t="s">
        <v>94</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t="e">
        <f>IF(#REF!&lt;&gt;"",IF(#REF!="Higher the better",IF(#REF!&gt;=#REF!,#REF!,NA()),IF(#REF!&lt;=#REF!,#REF!,NA())),NA())</f>
        <v>#REF!</v>
      </c>
      <c r="Y5" t="e">
        <f>IF(#REF!&lt;&gt;"",IF(#REF!="Higher the better",IF(#REF!&gt;=#REF!,#REF!,NA()),IF(#REF!&lt;=#REF!,#REF!,NA())),NA())</f>
        <v>#REF!</v>
      </c>
      <c r="Z5" t="e">
        <f>IF(#REF!&lt;&gt;"",IF(#REF!="Higher the better",IF(#REF!&gt;=#REF!,#REF!,NA()),IF(#REF!&lt;=#REF!,#REF!,NA())),NA())</f>
        <v>#REF!</v>
      </c>
      <c r="AA5" t="e">
        <f>IF(#REF!&lt;&gt;"",IF(#REF!="Higher the better",IF(#REF!&gt;=#REF!,#REF!,NA()),IF(#REF!&lt;=#REF!,#REF!,NA())),NA())</f>
        <v>#REF!</v>
      </c>
      <c r="AB5" t="e">
        <f>IF(#REF!&lt;&gt;"",IF(#REF!="Higher the better",IF(#REF!&gt;=#REF!,#REF!,NA()),IF(#REF!&lt;=#REF!,#REF!,NA())),NA())</f>
        <v>#REF!</v>
      </c>
      <c r="AC5" t="e">
        <f>IF(#REF!&lt;&gt;"",IF(#REF!="Higher the better",IF(#REF!&gt;=#REF!,#REF!,NA()),IF(#REF!&lt;=#REF!,#REF!,NA())),NA())</f>
        <v>#REF!</v>
      </c>
      <c r="AD5" t="e">
        <f>IF(#REF!&lt;&gt;"",IF(#REF!="Higher the better",IF(#REF!&gt;=#REF!,#REF!,NA()),IF(#REF!&lt;=#REF!,#REF!,NA())),NA())</f>
        <v>#REF!</v>
      </c>
      <c r="AE5" t="e">
        <f>IF(#REF!&lt;&gt;"",IF(#REF!="Higher the better",IF(#REF!&gt;=#REF!,#REF!,NA()),IF(#REF!&lt;=#REF!,#REF!,NA())),NA())</f>
        <v>#REF!</v>
      </c>
      <c r="AF5" t="e">
        <f>IF(#REF!&lt;&gt;"",IF(#REF!="Higher the better",IF(#REF!&gt;=#REF!,#REF!,NA()),IF(#REF!&lt;=#REF!,#REF!,NA())),NA())</f>
        <v>#REF!</v>
      </c>
      <c r="AG5" t="e">
        <f>IF(#REF!&lt;&gt;"",IF(#REF!="Higher the better",IF(#REF!&gt;=#REF!,#REF!,NA()),IF(#REF!&lt;=#REF!,#REF!,NA())),NA())</f>
        <v>#REF!</v>
      </c>
      <c r="AH5" t="e">
        <f>IF(#REF!&lt;&gt;"",IF(#REF!="Higher the better",IF(#REF!&gt;=#REF!,#REF!,NA()),IF(#REF!&lt;=#REF!,#REF!,NA())),NA())</f>
        <v>#REF!</v>
      </c>
      <c r="AI5" t="e">
        <f>IF(#REF!&lt;&gt;"",IF(#REF!="Higher the better",IF(#REF!&gt;=#REF!,#REF!,NA()),IF(#REF!&lt;=#REF!,#REF!,NA())),NA())</f>
        <v>#REF!</v>
      </c>
    </row>
    <row r="6" spans="1:35">
      <c r="A6" s="430" t="s">
        <v>95</v>
      </c>
      <c r="B6" s="348" t="s">
        <v>96</v>
      </c>
      <c r="C6" s="328" t="s">
        <v>97</v>
      </c>
      <c r="D6" s="328">
        <v>90</v>
      </c>
      <c r="E6" s="328" t="s">
        <v>98</v>
      </c>
      <c r="F6" s="336" t="s">
        <v>99</v>
      </c>
      <c r="G6" s="328" t="s">
        <v>55</v>
      </c>
      <c r="H6" s="14" t="s">
        <v>29</v>
      </c>
      <c r="I6" s="4">
        <v>0.9</v>
      </c>
      <c r="J6" s="4">
        <v>0.9</v>
      </c>
      <c r="K6" s="4">
        <v>0.9</v>
      </c>
      <c r="L6" s="4">
        <v>0.9</v>
      </c>
      <c r="M6" s="4">
        <v>0.9</v>
      </c>
      <c r="N6" s="4">
        <v>0.9</v>
      </c>
      <c r="O6" s="4">
        <v>0.9</v>
      </c>
      <c r="P6" s="4">
        <v>0.9</v>
      </c>
      <c r="Q6" s="4">
        <v>0.9</v>
      </c>
      <c r="R6" s="4">
        <v>0.9</v>
      </c>
      <c r="S6" s="4">
        <v>0.9</v>
      </c>
      <c r="T6" s="4">
        <v>0.9</v>
      </c>
      <c r="W6" t="s">
        <v>91</v>
      </c>
      <c r="X6" t="e">
        <f>IF(#REF!&lt;&gt;"",IF(#REF!="Higher the better",IF(#REF!&lt;#REF!,#REF!,NA()),IF(#REF!&gt;#REF!,#REF!,NA())),NA())</f>
        <v>#REF!</v>
      </c>
      <c r="Y6" t="e">
        <f>IF(#REF!&lt;&gt;"",IF(#REF!="Higher the better",IF(#REF!&lt;#REF!,#REF!,NA()),IF(#REF!&gt;#REF!,#REF!,NA())),NA())</f>
        <v>#REF!</v>
      </c>
      <c r="Z6" t="e">
        <f>IF(#REF!&lt;&gt;"",IF(#REF!="Higher the better",IF(#REF!&lt;#REF!,#REF!,NA()),IF(#REF!&gt;#REF!,#REF!,NA())),NA())</f>
        <v>#REF!</v>
      </c>
      <c r="AA6" t="e">
        <f>IF(#REF!&lt;&gt;"",IF(#REF!="Higher the better",IF(#REF!&lt;#REF!,#REF!,NA()),IF(#REF!&gt;#REF!,#REF!,NA())),NA())</f>
        <v>#REF!</v>
      </c>
      <c r="AB6" t="e">
        <f>IF(#REF!&lt;&gt;"",IF(#REF!="Higher the better",IF(#REF!&lt;#REF!,#REF!,NA()),IF(#REF!&gt;#REF!,#REF!,NA())),NA())</f>
        <v>#REF!</v>
      </c>
      <c r="AC6" t="e">
        <f>IF(#REF!&lt;&gt;"",IF(#REF!="Higher the better",IF(#REF!&lt;#REF!,#REF!,NA()),IF(#REF!&gt;#REF!,#REF!,NA())),NA())</f>
        <v>#REF!</v>
      </c>
      <c r="AD6" t="e">
        <f>IF(#REF!&lt;&gt;"",IF(#REF!="Higher the better",IF(#REF!&lt;#REF!,#REF!,NA()),IF(#REF!&gt;#REF!,#REF!,NA())),NA())</f>
        <v>#REF!</v>
      </c>
      <c r="AE6" t="e">
        <f>IF(#REF!&lt;&gt;"",IF(#REF!="Higher the better",IF(#REF!&lt;#REF!,#REF!,NA()),IF(#REF!&gt;#REF!,#REF!,NA())),NA())</f>
        <v>#REF!</v>
      </c>
      <c r="AF6" t="e">
        <f>IF(#REF!&lt;&gt;"",IF(#REF!="Higher the better",IF(#REF!&lt;#REF!,#REF!,NA()),IF(#REF!&gt;#REF!,#REF!,NA())),NA())</f>
        <v>#REF!</v>
      </c>
      <c r="AG6" t="e">
        <f>IF(#REF!&lt;&gt;"",IF(#REF!="Higher the better",IF(#REF!&lt;#REF!,#REF!,NA()),IF(#REF!&gt;#REF!,#REF!,NA())),NA())</f>
        <v>#REF!</v>
      </c>
      <c r="AH6" t="e">
        <f>IF(#REF!&lt;&gt;"",IF(#REF!="Higher the better",IF(#REF!&lt;#REF!,#REF!,NA()),IF(#REF!&gt;#REF!,#REF!,NA())),NA())</f>
        <v>#REF!</v>
      </c>
      <c r="AI6" t="e">
        <f>IF(#REF!&lt;&gt;"",IF(#REF!="Higher the better",IF(#REF!&lt;#REF!,#REF!,NA()),IF(#REF!&gt;#REF!,#REF!,NA())),NA())</f>
        <v>#REF!</v>
      </c>
    </row>
    <row r="7" spans="1:35">
      <c r="A7" s="406"/>
      <c r="B7" s="344"/>
      <c r="C7" s="329"/>
      <c r="D7" s="329"/>
      <c r="E7" s="329"/>
      <c r="F7" s="333"/>
      <c r="G7" s="329"/>
      <c r="H7" s="14" t="s">
        <v>30</v>
      </c>
      <c r="I7" s="5">
        <v>1</v>
      </c>
      <c r="J7" s="5">
        <v>0.75</v>
      </c>
      <c r="K7" s="5">
        <v>0.4</v>
      </c>
      <c r="L7" s="5">
        <v>0</v>
      </c>
      <c r="M7" s="5">
        <v>0</v>
      </c>
      <c r="N7" s="5">
        <v>0</v>
      </c>
      <c r="O7" s="5">
        <v>1</v>
      </c>
      <c r="P7" s="5">
        <v>1</v>
      </c>
      <c r="Q7" s="5"/>
      <c r="R7" s="5"/>
      <c r="S7" s="5"/>
      <c r="T7" s="5"/>
      <c r="W7" t="s">
        <v>90</v>
      </c>
      <c r="X7" t="e">
        <f>IF(#REF!&lt;&gt;"",IF(#REF!="Higher the better",IF(#REF!&gt;=#REF!,#REF!,NA()),IF(#REF!&lt;=#REF!,#REF!,NA())),NA())</f>
        <v>#REF!</v>
      </c>
      <c r="Y7" t="e">
        <f>IF(#REF!&lt;&gt;"",IF(#REF!="Higher the better",IF(#REF!&gt;=#REF!,#REF!,NA()),IF(#REF!&lt;=#REF!,#REF!,NA())),NA())</f>
        <v>#REF!</v>
      </c>
      <c r="Z7" t="e">
        <f>IF(#REF!&lt;&gt;"",IF(#REF!="Higher the better",IF(#REF!&gt;=#REF!,#REF!,NA()),IF(#REF!&lt;=#REF!,#REF!,NA())),NA())</f>
        <v>#REF!</v>
      </c>
      <c r="AA7" t="e">
        <f>IF(#REF!&lt;&gt;"",IF(#REF!="Higher the better",IF(#REF!&gt;=#REF!,#REF!,NA()),IF(#REF!&lt;=#REF!,#REF!,NA())),NA())</f>
        <v>#REF!</v>
      </c>
      <c r="AB7" t="e">
        <f>IF(#REF!&lt;&gt;"",IF(#REF!="Higher the better",IF(#REF!&gt;=#REF!,#REF!,NA()),IF(#REF!&lt;=#REF!,#REF!,NA())),NA())</f>
        <v>#REF!</v>
      </c>
      <c r="AC7" t="e">
        <f>IF(#REF!&lt;&gt;"",IF(#REF!="Higher the better",IF(#REF!&gt;=#REF!,#REF!,NA()),IF(#REF!&lt;=#REF!,#REF!,NA())),NA())</f>
        <v>#REF!</v>
      </c>
      <c r="AD7" t="e">
        <f>IF(#REF!&lt;&gt;"",IF(#REF!="Higher the better",IF(#REF!&gt;=#REF!,#REF!,NA()),IF(#REF!&lt;=#REF!,#REF!,NA())),NA())</f>
        <v>#REF!</v>
      </c>
      <c r="AE7" t="e">
        <f>IF(#REF!&lt;&gt;"",IF(#REF!="Higher the better",IF(#REF!&gt;=#REF!,#REF!,NA()),IF(#REF!&lt;=#REF!,#REF!,NA())),NA())</f>
        <v>#REF!</v>
      </c>
      <c r="AF7" t="e">
        <f>IF(#REF!&lt;&gt;"",IF(#REF!="Higher the better",IF(#REF!&gt;=#REF!,#REF!,NA()),IF(#REF!&lt;=#REF!,#REF!,NA())),NA())</f>
        <v>#REF!</v>
      </c>
      <c r="AG7" t="e">
        <f>IF(#REF!&lt;&gt;"",IF(#REF!="Higher the better",IF(#REF!&gt;=#REF!,#REF!,NA()),IF(#REF!&lt;=#REF!,#REF!,NA())),NA())</f>
        <v>#REF!</v>
      </c>
      <c r="AH7" t="e">
        <f>IF(#REF!&lt;&gt;"",IF(#REF!="Higher the better",IF(#REF!&gt;=#REF!,#REF!,NA()),IF(#REF!&lt;=#REF!,#REF!,NA())),NA())</f>
        <v>#REF!</v>
      </c>
      <c r="AI7" t="e">
        <f>IF(#REF!&lt;&gt;"",IF(#REF!="Higher the better",IF(#REF!&gt;=#REF!,#REF!,NA()),IF(#REF!&lt;=#REF!,#REF!,NA())),NA())</f>
        <v>#REF!</v>
      </c>
    </row>
    <row r="8" spans="1:35">
      <c r="A8" s="430" t="s">
        <v>100</v>
      </c>
      <c r="B8" s="435" t="s">
        <v>101</v>
      </c>
      <c r="C8" s="328" t="s">
        <v>102</v>
      </c>
      <c r="D8" s="437" t="s">
        <v>103</v>
      </c>
      <c r="E8" s="328" t="s">
        <v>98</v>
      </c>
      <c r="F8" s="336" t="s">
        <v>104</v>
      </c>
      <c r="G8" s="328" t="s">
        <v>55</v>
      </c>
      <c r="H8" s="14" t="s">
        <v>29</v>
      </c>
      <c r="I8" s="4">
        <v>0.08</v>
      </c>
      <c r="J8" s="4">
        <v>0.08</v>
      </c>
      <c r="K8" s="4">
        <v>0.08</v>
      </c>
      <c r="L8" s="4">
        <v>7.0000000000000007E-2</v>
      </c>
      <c r="M8" s="4">
        <v>7.0000000000000007E-2</v>
      </c>
      <c r="N8" s="4">
        <v>7.0000000000000007E-2</v>
      </c>
      <c r="O8" s="4">
        <v>0.06</v>
      </c>
      <c r="P8" s="4">
        <v>0.06</v>
      </c>
      <c r="Q8" s="4">
        <v>0.06</v>
      </c>
      <c r="R8" s="4">
        <v>0.05</v>
      </c>
      <c r="S8" s="4">
        <v>0.05</v>
      </c>
      <c r="T8" s="4">
        <v>0.05</v>
      </c>
      <c r="W8" t="s">
        <v>91</v>
      </c>
      <c r="X8" t="e">
        <f>IF(#REF!&lt;&gt;"",IF(#REF!="Higher the better",IF(#REF!&lt;#REF!,#REF!,NA()),IF(#REF!&gt;#REF!,#REF!,NA())),NA())</f>
        <v>#REF!</v>
      </c>
      <c r="Y8" t="e">
        <f>IF(#REF!&lt;&gt;"",IF(#REF!="Higher the better",IF(#REF!&lt;#REF!,#REF!,NA()),IF(#REF!&gt;#REF!,#REF!,NA())),NA())</f>
        <v>#REF!</v>
      </c>
      <c r="Z8" t="e">
        <f>IF(#REF!&lt;&gt;"",IF(#REF!="Higher the better",IF(#REF!&lt;#REF!,#REF!,NA()),IF(#REF!&gt;#REF!,#REF!,NA())),NA())</f>
        <v>#REF!</v>
      </c>
      <c r="AA8" t="e">
        <f>IF(#REF!&lt;&gt;"",IF(#REF!="Higher the better",IF(#REF!&lt;#REF!,#REF!,NA()),IF(#REF!&gt;#REF!,#REF!,NA())),NA())</f>
        <v>#REF!</v>
      </c>
      <c r="AB8" t="e">
        <f>IF(#REF!&lt;&gt;"",IF(#REF!="Higher the better",IF(#REF!&lt;#REF!,#REF!,NA()),IF(#REF!&gt;#REF!,#REF!,NA())),NA())</f>
        <v>#REF!</v>
      </c>
      <c r="AC8" t="e">
        <f>IF(#REF!&lt;&gt;"",IF(#REF!="Higher the better",IF(#REF!&lt;#REF!,#REF!,NA()),IF(#REF!&gt;#REF!,#REF!,NA())),NA())</f>
        <v>#REF!</v>
      </c>
      <c r="AD8" t="e">
        <f>IF(#REF!&lt;&gt;"",IF(#REF!="Higher the better",IF(#REF!&lt;#REF!,#REF!,NA()),IF(#REF!&gt;#REF!,#REF!,NA())),NA())</f>
        <v>#REF!</v>
      </c>
      <c r="AE8" t="e">
        <f>IF(#REF!&lt;&gt;"",IF(#REF!="Higher the better",IF(#REF!&lt;#REF!,#REF!,NA()),IF(#REF!&gt;#REF!,#REF!,NA())),NA())</f>
        <v>#REF!</v>
      </c>
      <c r="AF8" t="e">
        <f>IF(#REF!&lt;&gt;"",IF(#REF!="Higher the better",IF(#REF!&lt;#REF!,#REF!,NA()),IF(#REF!&gt;#REF!,#REF!,NA())),NA())</f>
        <v>#REF!</v>
      </c>
      <c r="AG8" t="e">
        <f>IF(#REF!&lt;&gt;"",IF(#REF!="Higher the better",IF(#REF!&lt;#REF!,#REF!,NA()),IF(#REF!&gt;#REF!,#REF!,NA())),NA())</f>
        <v>#REF!</v>
      </c>
      <c r="AH8" t="e">
        <f>IF(#REF!&lt;&gt;"",IF(#REF!="Higher the better",IF(#REF!&lt;#REF!,#REF!,NA()),IF(#REF!&gt;#REF!,#REF!,NA())),NA())</f>
        <v>#REF!</v>
      </c>
      <c r="AI8" t="e">
        <f>IF(#REF!&lt;&gt;"",IF(#REF!="Higher the better",IF(#REF!&lt;#REF!,#REF!,NA()),IF(#REF!&gt;#REF!,#REF!,NA())),NA())</f>
        <v>#REF!</v>
      </c>
    </row>
    <row r="9" spans="1:35">
      <c r="A9" s="431"/>
      <c r="B9" s="436"/>
      <c r="C9" s="329"/>
      <c r="D9" s="329"/>
      <c r="E9" s="329"/>
      <c r="F9" s="333"/>
      <c r="G9" s="329"/>
      <c r="H9" s="14" t="s">
        <v>30</v>
      </c>
      <c r="I9" s="125">
        <v>3.7999999999999999E-2</v>
      </c>
      <c r="J9" s="125">
        <v>3.7999999999999999E-2</v>
      </c>
      <c r="K9" s="125">
        <v>2.8000000000000001E-2</v>
      </c>
      <c r="L9" s="125">
        <v>2.5999999999999999E-2</v>
      </c>
      <c r="M9" s="125">
        <v>2.5999999999999999E-2</v>
      </c>
      <c r="N9" s="125">
        <v>0.03</v>
      </c>
      <c r="O9" s="125">
        <v>0.03</v>
      </c>
      <c r="P9" s="125">
        <v>3.5000000000000003E-2</v>
      </c>
      <c r="Q9" s="125"/>
      <c r="R9" s="125"/>
      <c r="S9" s="125"/>
      <c r="T9" s="125"/>
      <c r="W9" t="s">
        <v>90</v>
      </c>
      <c r="X9">
        <f>IF(I25&lt;&gt;"",IF($F24="Higher the better",IF(I25&gt;=I24,I25,NA()),IF(I25&lt;=I24,I25,NA())),NA())</f>
        <v>0</v>
      </c>
      <c r="Y9" t="e">
        <f t="shared" ref="Y9:AI9" si="44">IF(J43&lt;&gt;"",IF($F42="Higher the better",IF(J43&gt;=J42,J43,NA()),IF(J43&lt;=J42,J43,NA())),NA())</f>
        <v>#N/A</v>
      </c>
      <c r="Z9" t="e">
        <f t="shared" si="44"/>
        <v>#N/A</v>
      </c>
      <c r="AA9" t="e">
        <f t="shared" si="44"/>
        <v>#N/A</v>
      </c>
      <c r="AB9" t="e">
        <f t="shared" si="44"/>
        <v>#N/A</v>
      </c>
      <c r="AC9" t="e">
        <f t="shared" si="44"/>
        <v>#N/A</v>
      </c>
      <c r="AD9" t="e">
        <f t="shared" si="44"/>
        <v>#N/A</v>
      </c>
      <c r="AE9" t="e">
        <f t="shared" si="44"/>
        <v>#N/A</v>
      </c>
      <c r="AF9" t="e">
        <f t="shared" si="44"/>
        <v>#N/A</v>
      </c>
      <c r="AG9" t="e">
        <f t="shared" si="44"/>
        <v>#N/A</v>
      </c>
      <c r="AH9" t="e">
        <f t="shared" si="44"/>
        <v>#N/A</v>
      </c>
      <c r="AI9" t="e">
        <f t="shared" si="44"/>
        <v>#N/A</v>
      </c>
    </row>
    <row r="10" spans="1:35">
      <c r="A10" s="438" t="s">
        <v>105</v>
      </c>
      <c r="B10" s="440" t="s">
        <v>106</v>
      </c>
      <c r="C10" s="328" t="s">
        <v>102</v>
      </c>
      <c r="D10" s="336">
        <v>1.8</v>
      </c>
      <c r="E10" s="328" t="s">
        <v>54</v>
      </c>
      <c r="F10" s="336" t="s">
        <v>104</v>
      </c>
      <c r="G10" s="328" t="s">
        <v>55</v>
      </c>
      <c r="H10" s="14" t="s">
        <v>29</v>
      </c>
      <c r="I10" s="211">
        <v>1.8</v>
      </c>
      <c r="J10" s="211">
        <v>1.8</v>
      </c>
      <c r="K10" s="211">
        <v>1.8</v>
      </c>
      <c r="L10" s="211">
        <v>1.8</v>
      </c>
      <c r="M10" s="211">
        <v>1.8</v>
      </c>
      <c r="N10" s="211">
        <v>1.8</v>
      </c>
      <c r="O10" s="211">
        <v>1.8</v>
      </c>
      <c r="P10" s="211">
        <v>1.8</v>
      </c>
      <c r="Q10" s="211">
        <v>1.8</v>
      </c>
      <c r="R10" s="211">
        <v>1.8</v>
      </c>
      <c r="S10" s="211">
        <v>1.8</v>
      </c>
      <c r="T10" s="211">
        <v>1.8</v>
      </c>
      <c r="W10" t="s">
        <v>91</v>
      </c>
      <c r="X10" t="e">
        <f t="shared" ref="X10" si="45">IF(I25&lt;&gt;"",IF($F24="Higher the better",IF(I25&lt;I24,I25,NA()),IF(I25&gt;I24,I25,NA())),NA())</f>
        <v>#N/A</v>
      </c>
      <c r="Y10" t="e">
        <f t="shared" ref="Y10" si="46">IF(J25&lt;&gt;"",IF($F24="Higher the better",IF(J25&lt;J24,J25,NA()),IF(J25&gt;J24,J25,NA())),NA())</f>
        <v>#N/A</v>
      </c>
      <c r="Z10" t="e">
        <f t="shared" ref="Z10" si="47">IF(K25&lt;&gt;"",IF($F24="Higher the better",IF(K25&lt;K24,K25,NA()),IF(K25&gt;K24,K25,NA())),NA())</f>
        <v>#N/A</v>
      </c>
      <c r="AA10" t="e">
        <f t="shared" ref="AA10" si="48">IF(L25&lt;&gt;"",IF($F24="Higher the better",IF(L25&lt;L24,L25,NA()),IF(L25&gt;L24,L25,NA())),NA())</f>
        <v>#N/A</v>
      </c>
      <c r="AB10" t="e">
        <f t="shared" ref="AB10" si="49">IF(M25&lt;&gt;"",IF($F24="Higher the better",IF(M25&lt;M24,M25,NA()),IF(M25&gt;M24,M25,NA())),NA())</f>
        <v>#N/A</v>
      </c>
      <c r="AC10" t="e">
        <f t="shared" ref="AC10" si="50">IF(N25&lt;&gt;"",IF($F24="Higher the better",IF(N25&lt;N24,N25,NA()),IF(N25&gt;N24,N25,NA())),NA())</f>
        <v>#N/A</v>
      </c>
      <c r="AD10" t="e">
        <f t="shared" ref="AD10" si="51">IF(O25&lt;&gt;"",IF($F24="Higher the better",IF(O25&lt;O24,O25,NA()),IF(O25&gt;O24,O25,NA())),NA())</f>
        <v>#N/A</v>
      </c>
      <c r="AE10" t="e">
        <f t="shared" ref="AE10" si="52">IF(P25&lt;&gt;"",IF($F24="Higher the better",IF(P25&lt;P24,P25,NA()),IF(P25&gt;P24,P25,NA())),NA())</f>
        <v>#N/A</v>
      </c>
      <c r="AF10" t="e">
        <f t="shared" ref="AF10" si="53">IF(Q25&lt;&gt;"",IF($F24="Higher the better",IF(Q25&lt;Q24,Q25,NA()),IF(Q25&gt;Q24,Q25,NA())),NA())</f>
        <v>#N/A</v>
      </c>
      <c r="AG10" t="e">
        <f t="shared" ref="AG10" si="54">IF(R25&lt;&gt;"",IF($F24="Higher the better",IF(R25&lt;R24,R25,NA()),IF(R25&gt;R24,R25,NA())),NA())</f>
        <v>#N/A</v>
      </c>
      <c r="AH10" t="e">
        <f t="shared" ref="AH10" si="55">IF(S25&lt;&gt;"",IF($F24="Higher the better",IF(S25&lt;S24,S25,NA()),IF(S25&gt;S24,S25,NA())),NA())</f>
        <v>#N/A</v>
      </c>
      <c r="AI10" t="e">
        <f t="shared" ref="AI10" si="56">IF(T25&lt;&gt;"",IF($F24="Higher the better",IF(T25&lt;T24,T25,NA()),IF(T25&gt;T24,T25,NA())),NA())</f>
        <v>#N/A</v>
      </c>
    </row>
    <row r="11" spans="1:35">
      <c r="A11" s="438"/>
      <c r="B11" s="440"/>
      <c r="C11" s="439"/>
      <c r="D11" s="434"/>
      <c r="E11" s="439"/>
      <c r="F11" s="434"/>
      <c r="G11" s="439"/>
      <c r="H11" s="14" t="s">
        <v>30</v>
      </c>
      <c r="I11" s="212">
        <v>0.93</v>
      </c>
      <c r="J11" s="213">
        <v>0.8</v>
      </c>
      <c r="K11" s="213">
        <v>0.92</v>
      </c>
      <c r="L11" s="45">
        <v>1</v>
      </c>
      <c r="M11" s="45">
        <v>0.8</v>
      </c>
      <c r="N11" s="45">
        <v>0.8</v>
      </c>
      <c r="O11" s="45">
        <v>0.8</v>
      </c>
      <c r="P11" s="45"/>
      <c r="Q11" s="45"/>
      <c r="R11" s="45"/>
      <c r="S11" s="45"/>
      <c r="T11" s="45"/>
      <c r="W11" t="s">
        <v>90</v>
      </c>
      <c r="X11" t="e">
        <f t="shared" ref="X11" si="57">IF(I27&lt;&gt;"",IF($F26="Higher the better",IF(I27&gt;=I26,I27,NA()),IF(I27&lt;=I26,I27,NA())),NA())</f>
        <v>#N/A</v>
      </c>
      <c r="Y11" t="e">
        <f t="shared" ref="Y11" si="58">IF(J45&lt;&gt;"",IF($F44="Higher the better",IF(J45&gt;=J44,J45,NA()),IF(J45&lt;=J44,J45,NA())),NA())</f>
        <v>#N/A</v>
      </c>
      <c r="Z11" t="e">
        <f t="shared" ref="Z11" si="59">IF(K45&lt;&gt;"",IF($F44="Higher the better",IF(K45&gt;=K44,K45,NA()),IF(K45&lt;=K44,K45,NA())),NA())</f>
        <v>#N/A</v>
      </c>
      <c r="AA11" t="e">
        <f t="shared" ref="AA11" si="60">IF(L45&lt;&gt;"",IF($F44="Higher the better",IF(L45&gt;=L44,L45,NA()),IF(L45&lt;=L44,L45,NA())),NA())</f>
        <v>#N/A</v>
      </c>
      <c r="AB11" t="e">
        <f t="shared" ref="AB11" si="61">IF(M45&lt;&gt;"",IF($F44="Higher the better",IF(M45&gt;=M44,M45,NA()),IF(M45&lt;=M44,M45,NA())),NA())</f>
        <v>#N/A</v>
      </c>
      <c r="AC11" t="e">
        <f t="shared" ref="AC11" si="62">IF(N45&lt;&gt;"",IF($F44="Higher the better",IF(N45&gt;=N44,N45,NA()),IF(N45&lt;=N44,N45,NA())),NA())</f>
        <v>#N/A</v>
      </c>
      <c r="AD11" t="e">
        <f t="shared" ref="AD11" si="63">IF(O45&lt;&gt;"",IF($F44="Higher the better",IF(O45&gt;=O44,O45,NA()),IF(O45&lt;=O44,O45,NA())),NA())</f>
        <v>#N/A</v>
      </c>
      <c r="AE11" t="e">
        <f t="shared" ref="AE11" si="64">IF(P45&lt;&gt;"",IF($F44="Higher the better",IF(P45&gt;=P44,P45,NA()),IF(P45&lt;=P44,P45,NA())),NA())</f>
        <v>#N/A</v>
      </c>
      <c r="AF11" t="e">
        <f t="shared" ref="AF11" si="65">IF(Q45&lt;&gt;"",IF($F44="Higher the better",IF(Q45&gt;=Q44,Q45,NA()),IF(Q45&lt;=Q44,Q45,NA())),NA())</f>
        <v>#N/A</v>
      </c>
      <c r="AG11" t="e">
        <f t="shared" ref="AG11" si="66">IF(R45&lt;&gt;"",IF($F44="Higher the better",IF(R45&gt;=R44,R45,NA()),IF(R45&lt;=R44,R45,NA())),NA())</f>
        <v>#N/A</v>
      </c>
      <c r="AH11" t="e">
        <f t="shared" ref="AH11" si="67">IF(S45&lt;&gt;"",IF($F44="Higher the better",IF(S45&gt;=S44,S45,NA()),IF(S45&lt;=S44,S45,NA())),NA())</f>
        <v>#N/A</v>
      </c>
      <c r="AI11" t="e">
        <f t="shared" ref="AI11" si="68">IF(T45&lt;&gt;"",IF($F44="Higher the better",IF(T45&gt;=T44,T45,NA()),IF(T45&lt;=T44,T45,NA())),NA())</f>
        <v>#N/A</v>
      </c>
    </row>
    <row r="12" spans="1:35">
      <c r="A12" s="438"/>
      <c r="B12" s="440" t="s">
        <v>107</v>
      </c>
      <c r="C12" s="439"/>
      <c r="D12" s="336" t="s">
        <v>108</v>
      </c>
      <c r="E12" s="439"/>
      <c r="F12" s="336" t="s">
        <v>104</v>
      </c>
      <c r="G12" s="439"/>
      <c r="H12" s="14" t="s">
        <v>29</v>
      </c>
      <c r="I12" s="211">
        <v>1.8</v>
      </c>
      <c r="J12" s="211">
        <v>1.8</v>
      </c>
      <c r="K12" s="211">
        <v>1.8</v>
      </c>
      <c r="L12" s="211">
        <v>1.8</v>
      </c>
      <c r="M12" s="211">
        <v>1.8</v>
      </c>
      <c r="N12" s="211">
        <v>1.8</v>
      </c>
      <c r="O12" s="211">
        <v>1.8</v>
      </c>
      <c r="P12" s="211">
        <v>1.8</v>
      </c>
      <c r="Q12" s="211">
        <v>1.8</v>
      </c>
      <c r="R12" s="211">
        <v>1.8</v>
      </c>
      <c r="S12" s="211">
        <v>1.8</v>
      </c>
      <c r="T12" s="211">
        <v>1.8</v>
      </c>
      <c r="W12" t="s">
        <v>91</v>
      </c>
      <c r="X12" t="e">
        <f t="shared" ref="X12" si="69">IF(I27&lt;&gt;"",IF($F26="Higher the better",IF(I27&lt;I26,I27,NA()),IF(I27&gt;I26,I27,NA())),NA())</f>
        <v>#N/A</v>
      </c>
      <c r="Y12" t="e">
        <f t="shared" ref="Y12" si="70">IF(J27&lt;&gt;"",IF($F26="Higher the better",IF(J27&lt;J26,J27,NA()),IF(J27&gt;J26,J27,NA())),NA())</f>
        <v>#N/A</v>
      </c>
      <c r="Z12" t="e">
        <f t="shared" ref="Z12" si="71">IF(K27&lt;&gt;"",IF($F26="Higher the better",IF(K27&lt;K26,K27,NA()),IF(K27&gt;K26,K27,NA())),NA())</f>
        <v>#N/A</v>
      </c>
      <c r="AA12" t="e">
        <f t="shared" ref="AA12" si="72">IF(L27&lt;&gt;"",IF($F26="Higher the better",IF(L27&lt;L26,L27,NA()),IF(L27&gt;L26,L27,NA())),NA())</f>
        <v>#N/A</v>
      </c>
      <c r="AB12" t="e">
        <f t="shared" ref="AB12" si="73">IF(M27&lt;&gt;"",IF($F26="Higher the better",IF(M27&lt;M26,M27,NA()),IF(M27&gt;M26,M27,NA())),NA())</f>
        <v>#N/A</v>
      </c>
      <c r="AC12" t="e">
        <f t="shared" ref="AC12" si="74">IF(N27&lt;&gt;"",IF($F26="Higher the better",IF(N27&lt;N26,N27,NA()),IF(N27&gt;N26,N27,NA())),NA())</f>
        <v>#N/A</v>
      </c>
      <c r="AD12" t="e">
        <f t="shared" ref="AD12" si="75">IF(O27&lt;&gt;"",IF($F26="Higher the better",IF(O27&lt;O26,O27,NA()),IF(O27&gt;O26,O27,NA())),NA())</f>
        <v>#N/A</v>
      </c>
      <c r="AE12" t="e">
        <f t="shared" ref="AE12" si="76">IF(P27&lt;&gt;"",IF($F26="Higher the better",IF(P27&lt;P26,P27,NA()),IF(P27&gt;P26,P27,NA())),NA())</f>
        <v>#N/A</v>
      </c>
      <c r="AF12" t="e">
        <f t="shared" ref="AF12" si="77">IF(Q27&lt;&gt;"",IF($F26="Higher the better",IF(Q27&lt;Q26,Q27,NA()),IF(Q27&gt;Q26,Q27,NA())),NA())</f>
        <v>#N/A</v>
      </c>
      <c r="AG12" t="e">
        <f t="shared" ref="AG12" si="78">IF(R27&lt;&gt;"",IF($F26="Higher the better",IF(R27&lt;R26,R27,NA()),IF(R27&gt;R26,R27,NA())),NA())</f>
        <v>#N/A</v>
      </c>
      <c r="AH12" t="e">
        <f t="shared" ref="AH12" si="79">IF(S27&lt;&gt;"",IF($F26="Higher the better",IF(S27&lt;S26,S27,NA()),IF(S27&gt;S26,S27,NA())),NA())</f>
        <v>#N/A</v>
      </c>
      <c r="AI12" t="e">
        <f t="shared" ref="AI12" si="80">IF(T27&lt;&gt;"",IF($F26="Higher the better",IF(T27&lt;T26,T27,NA()),IF(T27&gt;T26,T27,NA())),NA())</f>
        <v>#N/A</v>
      </c>
    </row>
    <row r="13" spans="1:35">
      <c r="A13" s="438"/>
      <c r="B13" s="440"/>
      <c r="C13" s="439"/>
      <c r="D13" s="434"/>
      <c r="E13" s="439"/>
      <c r="F13" s="434"/>
      <c r="G13" s="439"/>
      <c r="H13" s="14" t="s">
        <v>30</v>
      </c>
      <c r="I13" s="45">
        <v>1.53</v>
      </c>
      <c r="J13" s="45">
        <v>1.53</v>
      </c>
      <c r="K13" s="45">
        <v>1.53</v>
      </c>
      <c r="L13" s="45">
        <v>1.7</v>
      </c>
      <c r="M13" s="45">
        <v>1.8</v>
      </c>
      <c r="N13" s="45">
        <v>1.4</v>
      </c>
      <c r="O13" s="45">
        <v>1.4</v>
      </c>
      <c r="P13" s="45"/>
      <c r="Q13" s="45"/>
      <c r="R13" s="45"/>
      <c r="S13" s="45"/>
      <c r="T13" s="45"/>
      <c r="W13" t="s">
        <v>90</v>
      </c>
      <c r="X13">
        <f>IF(I25&lt;&gt;"",IF($F24="Higher the better",IF(I25&gt;=I24,I25,NA()),IF(I25&lt;=I24,I25,NA())),NA())</f>
        <v>0</v>
      </c>
      <c r="Y13">
        <f t="shared" ref="Y13:AI13" si="81">IF(J25&lt;&gt;"",IF($F24="Higher the better",IF(J25&gt;=J24,J25,NA()),IF(J25&lt;=J24,J25,NA())),NA())</f>
        <v>0</v>
      </c>
      <c r="Z13">
        <f t="shared" si="81"/>
        <v>0</v>
      </c>
      <c r="AA13">
        <f t="shared" si="81"/>
        <v>0</v>
      </c>
      <c r="AB13">
        <f t="shared" si="81"/>
        <v>0</v>
      </c>
      <c r="AC13">
        <f t="shared" si="81"/>
        <v>0</v>
      </c>
      <c r="AD13">
        <f t="shared" si="81"/>
        <v>0</v>
      </c>
      <c r="AE13">
        <f t="shared" si="81"/>
        <v>0</v>
      </c>
      <c r="AF13" t="e">
        <f t="shared" si="81"/>
        <v>#N/A</v>
      </c>
      <c r="AG13" t="e">
        <f t="shared" si="81"/>
        <v>#N/A</v>
      </c>
      <c r="AH13" t="e">
        <f t="shared" si="81"/>
        <v>#N/A</v>
      </c>
      <c r="AI13" t="e">
        <f t="shared" si="81"/>
        <v>#N/A</v>
      </c>
    </row>
    <row r="14" spans="1:35">
      <c r="A14" s="438"/>
      <c r="B14" s="440" t="s">
        <v>109</v>
      </c>
      <c r="C14" s="439"/>
      <c r="D14" s="336">
        <v>2.2000000000000002</v>
      </c>
      <c r="E14" s="439"/>
      <c r="F14" s="336" t="s">
        <v>104</v>
      </c>
      <c r="G14" s="439"/>
      <c r="H14" s="14" t="s">
        <v>29</v>
      </c>
      <c r="I14" s="211">
        <v>2.2000000000000002</v>
      </c>
      <c r="J14" s="211">
        <v>2.2000000000000002</v>
      </c>
      <c r="K14" s="211">
        <v>2.2000000000000002</v>
      </c>
      <c r="L14" s="211">
        <v>2.2000000000000002</v>
      </c>
      <c r="M14" s="211">
        <v>2.2000000000000002</v>
      </c>
      <c r="N14" s="211">
        <v>2.2000000000000002</v>
      </c>
      <c r="O14" s="211">
        <v>2.2000000000000002</v>
      </c>
      <c r="P14" s="211">
        <v>2.2000000000000002</v>
      </c>
      <c r="Q14" s="211">
        <v>2.2000000000000002</v>
      </c>
      <c r="R14" s="211">
        <v>2.2000000000000002</v>
      </c>
      <c r="S14" s="211">
        <v>2.2000000000000002</v>
      </c>
      <c r="T14" s="211">
        <v>2.2000000000000002</v>
      </c>
      <c r="W14" t="s">
        <v>91</v>
      </c>
      <c r="X14" t="e">
        <f>IF(I25&lt;&gt;"",IF($F24="Higher the better",IF(I25&lt;I24,I25,NA()),IF(I25&gt;I24,I25,NA())),NA())</f>
        <v>#N/A</v>
      </c>
      <c r="Y14" t="e">
        <f t="shared" ref="Y14:AI14" si="82">IF(J25&lt;&gt;"",IF($F24="Higher the better",IF(J25&lt;J24,J25,NA()),IF(J25&gt;J24,J25,NA())),NA())</f>
        <v>#N/A</v>
      </c>
      <c r="Z14" t="e">
        <f t="shared" si="82"/>
        <v>#N/A</v>
      </c>
      <c r="AA14" t="e">
        <f t="shared" si="82"/>
        <v>#N/A</v>
      </c>
      <c r="AB14" t="e">
        <f t="shared" si="82"/>
        <v>#N/A</v>
      </c>
      <c r="AC14" t="e">
        <f t="shared" si="82"/>
        <v>#N/A</v>
      </c>
      <c r="AD14" t="e">
        <f t="shared" si="82"/>
        <v>#N/A</v>
      </c>
      <c r="AE14" t="e">
        <f t="shared" si="82"/>
        <v>#N/A</v>
      </c>
      <c r="AF14" t="e">
        <f t="shared" si="82"/>
        <v>#N/A</v>
      </c>
      <c r="AG14" t="e">
        <f t="shared" si="82"/>
        <v>#N/A</v>
      </c>
      <c r="AH14" t="e">
        <f t="shared" si="82"/>
        <v>#N/A</v>
      </c>
      <c r="AI14" t="e">
        <f t="shared" si="82"/>
        <v>#N/A</v>
      </c>
    </row>
    <row r="15" spans="1:35" ht="19.5" customHeight="1">
      <c r="A15" s="438"/>
      <c r="B15" s="440"/>
      <c r="C15" s="329"/>
      <c r="D15" s="434"/>
      <c r="E15" s="329"/>
      <c r="F15" s="434"/>
      <c r="G15" s="329"/>
      <c r="H15" s="14" t="s">
        <v>30</v>
      </c>
      <c r="I15" s="213">
        <v>1.7</v>
      </c>
      <c r="J15" s="45">
        <v>1.76</v>
      </c>
      <c r="K15" s="45">
        <v>1.78</v>
      </c>
      <c r="L15" s="45">
        <v>2</v>
      </c>
      <c r="M15" s="45">
        <v>2.2000000000000002</v>
      </c>
      <c r="N15" s="45">
        <v>1.8</v>
      </c>
      <c r="O15" s="45">
        <v>2</v>
      </c>
      <c r="P15" s="45"/>
      <c r="Q15" s="45"/>
      <c r="R15" s="45"/>
      <c r="S15" s="45"/>
      <c r="T15" s="45"/>
    </row>
    <row r="16" spans="1:35" ht="13.5" customHeight="1">
      <c r="A16" s="431" t="s">
        <v>110</v>
      </c>
      <c r="B16" s="433" t="s">
        <v>111</v>
      </c>
      <c r="C16" s="328" t="s">
        <v>102</v>
      </c>
      <c r="D16" s="336">
        <v>3</v>
      </c>
      <c r="E16" s="328" t="s">
        <v>54</v>
      </c>
      <c r="F16" s="336" t="s">
        <v>104</v>
      </c>
      <c r="G16" s="328" t="s">
        <v>55</v>
      </c>
      <c r="H16" s="14" t="s">
        <v>29</v>
      </c>
      <c r="I16" s="44">
        <v>1</v>
      </c>
      <c r="J16" s="44">
        <v>1</v>
      </c>
      <c r="K16" s="44">
        <v>1</v>
      </c>
      <c r="L16" s="44">
        <v>1</v>
      </c>
      <c r="M16" s="44">
        <v>1</v>
      </c>
      <c r="N16" s="44">
        <v>1</v>
      </c>
      <c r="O16" s="44">
        <v>1</v>
      </c>
      <c r="P16" s="44">
        <v>1</v>
      </c>
      <c r="Q16" s="44">
        <v>1</v>
      </c>
      <c r="R16" s="44">
        <v>1</v>
      </c>
      <c r="S16" s="44">
        <v>1</v>
      </c>
      <c r="T16" s="44">
        <v>1</v>
      </c>
    </row>
    <row r="17" spans="1:22" ht="14.85" customHeight="1">
      <c r="A17" s="432"/>
      <c r="B17" s="344"/>
      <c r="C17" s="329"/>
      <c r="D17" s="329"/>
      <c r="E17" s="329"/>
      <c r="F17" s="333"/>
      <c r="G17" s="329"/>
      <c r="H17" s="14" t="s">
        <v>30</v>
      </c>
      <c r="I17" s="45">
        <v>2</v>
      </c>
      <c r="J17" s="45">
        <v>1</v>
      </c>
      <c r="K17" s="45">
        <v>1</v>
      </c>
      <c r="L17" s="45">
        <v>0</v>
      </c>
      <c r="M17" s="45">
        <v>0</v>
      </c>
      <c r="N17" s="45">
        <v>0</v>
      </c>
      <c r="O17" s="45">
        <v>0</v>
      </c>
      <c r="P17" s="45">
        <v>0</v>
      </c>
      <c r="Q17" s="45"/>
      <c r="R17" s="45"/>
      <c r="S17" s="45"/>
      <c r="T17" s="45"/>
    </row>
    <row r="18" spans="1:22" ht="18.600000000000001">
      <c r="A18" s="11" t="s">
        <v>112</v>
      </c>
      <c r="H18" s="28"/>
    </row>
    <row r="19" spans="1:22" ht="27.6" customHeight="1">
      <c r="A19" s="110" t="s">
        <v>58</v>
      </c>
      <c r="B19" s="26" t="s">
        <v>59</v>
      </c>
      <c r="C19" s="26" t="s">
        <v>5</v>
      </c>
      <c r="D19" s="26" t="s">
        <v>60</v>
      </c>
      <c r="E19" s="26" t="s">
        <v>7</v>
      </c>
      <c r="F19" s="26" t="s">
        <v>61</v>
      </c>
      <c r="G19" s="26" t="s">
        <v>9</v>
      </c>
      <c r="H19" s="26" t="s">
        <v>62</v>
      </c>
      <c r="I19" s="29">
        <v>46023</v>
      </c>
      <c r="J19" s="29">
        <v>46054</v>
      </c>
      <c r="K19" s="29">
        <v>46082</v>
      </c>
      <c r="L19" s="29">
        <v>46113</v>
      </c>
      <c r="M19" s="29">
        <v>46143</v>
      </c>
      <c r="N19" s="29">
        <v>46174</v>
      </c>
      <c r="O19" s="29">
        <v>46204</v>
      </c>
      <c r="P19" s="29">
        <v>46235</v>
      </c>
      <c r="Q19" s="29">
        <v>46266</v>
      </c>
      <c r="R19" s="29">
        <v>46296</v>
      </c>
      <c r="S19" s="29">
        <v>46327</v>
      </c>
      <c r="T19" s="29">
        <v>46357</v>
      </c>
    </row>
    <row r="20" spans="1:22" ht="13.5" customHeight="1">
      <c r="A20" s="441" t="s">
        <v>113</v>
      </c>
      <c r="B20" s="443" t="s">
        <v>114</v>
      </c>
      <c r="C20" s="445" t="s">
        <v>115</v>
      </c>
      <c r="D20" s="457">
        <v>95</v>
      </c>
      <c r="E20" s="445" t="s">
        <v>98</v>
      </c>
      <c r="F20" s="447" t="s">
        <v>99</v>
      </c>
      <c r="G20" s="449" t="s">
        <v>55</v>
      </c>
      <c r="H20" s="112" t="s">
        <v>29</v>
      </c>
      <c r="I20" s="91">
        <v>0.95</v>
      </c>
      <c r="J20" s="91">
        <v>0.95</v>
      </c>
      <c r="K20" s="91">
        <v>0.95</v>
      </c>
      <c r="L20" s="91">
        <v>0.95</v>
      </c>
      <c r="M20" s="91">
        <v>0.95</v>
      </c>
      <c r="N20" s="91">
        <v>0.95</v>
      </c>
      <c r="O20" s="91">
        <v>0.95</v>
      </c>
      <c r="P20" s="91">
        <v>0.95</v>
      </c>
      <c r="Q20" s="91">
        <v>0.95</v>
      </c>
      <c r="R20" s="91">
        <v>0.95</v>
      </c>
      <c r="S20" s="91">
        <v>0.95</v>
      </c>
      <c r="T20" s="91">
        <v>0.95</v>
      </c>
      <c r="U20" s="89"/>
      <c r="V20" s="89"/>
    </row>
    <row r="21" spans="1:22" ht="13.5" customHeight="1">
      <c r="A21" s="442"/>
      <c r="B21" s="444"/>
      <c r="C21" s="446"/>
      <c r="D21" s="458"/>
      <c r="E21" s="446"/>
      <c r="F21" s="448"/>
      <c r="G21" s="450"/>
      <c r="H21" s="111" t="s">
        <v>30</v>
      </c>
      <c r="I21" s="118">
        <v>0.22</v>
      </c>
      <c r="J21" s="118">
        <v>0.4</v>
      </c>
      <c r="K21" s="118">
        <v>0.22</v>
      </c>
      <c r="L21" s="118">
        <v>0.4</v>
      </c>
      <c r="M21" s="118">
        <v>0.875</v>
      </c>
      <c r="N21" s="118">
        <v>0.3</v>
      </c>
      <c r="O21" s="118">
        <v>0.4</v>
      </c>
      <c r="P21" s="118">
        <v>0.83</v>
      </c>
      <c r="Q21" s="118"/>
      <c r="R21" s="118"/>
      <c r="S21" s="118"/>
      <c r="T21" s="118"/>
      <c r="U21" s="89"/>
      <c r="V21" s="89"/>
    </row>
    <row r="22" spans="1:22" ht="18.600000000000001" customHeight="1">
      <c r="A22" s="451" t="s">
        <v>116</v>
      </c>
      <c r="B22" s="343" t="s">
        <v>117</v>
      </c>
      <c r="C22" s="328" t="s">
        <v>102</v>
      </c>
      <c r="D22" s="455">
        <v>10</v>
      </c>
      <c r="E22" s="453" t="s">
        <v>54</v>
      </c>
      <c r="F22" s="454" t="s">
        <v>104</v>
      </c>
      <c r="G22" s="453" t="s">
        <v>55</v>
      </c>
      <c r="H22" s="112" t="s">
        <v>29</v>
      </c>
      <c r="I22" s="44">
        <v>6</v>
      </c>
      <c r="J22" s="44">
        <v>5</v>
      </c>
      <c r="K22" s="44">
        <v>5</v>
      </c>
      <c r="L22" s="44">
        <v>4</v>
      </c>
      <c r="M22" s="44">
        <v>4</v>
      </c>
      <c r="N22" s="44">
        <v>4</v>
      </c>
      <c r="O22" s="44">
        <v>4</v>
      </c>
      <c r="P22" s="44">
        <v>2</v>
      </c>
      <c r="Q22" s="44">
        <v>2</v>
      </c>
      <c r="R22" s="44">
        <v>0</v>
      </c>
      <c r="S22" s="44">
        <v>0</v>
      </c>
      <c r="T22" s="44">
        <v>0</v>
      </c>
    </row>
    <row r="23" spans="1:22">
      <c r="A23" s="452"/>
      <c r="B23" s="382"/>
      <c r="C23" s="329"/>
      <c r="D23" s="456"/>
      <c r="E23" s="329"/>
      <c r="F23" s="333"/>
      <c r="G23" s="329"/>
      <c r="H23" s="111" t="s">
        <v>30</v>
      </c>
      <c r="I23" s="126">
        <v>6</v>
      </c>
      <c r="J23" s="126">
        <v>5</v>
      </c>
      <c r="K23" s="126">
        <v>5</v>
      </c>
      <c r="L23" s="126">
        <v>4</v>
      </c>
      <c r="M23" s="126">
        <v>4</v>
      </c>
      <c r="N23" s="45">
        <v>4</v>
      </c>
      <c r="O23" s="45">
        <v>4</v>
      </c>
      <c r="P23" s="45">
        <v>2</v>
      </c>
      <c r="Q23" s="133"/>
      <c r="R23" s="133"/>
      <c r="S23" s="133"/>
      <c r="T23" s="133"/>
    </row>
    <row r="24" spans="1:22" ht="13.5" customHeight="1">
      <c r="A24" s="608" t="s">
        <v>118</v>
      </c>
      <c r="B24" s="350" t="s">
        <v>119</v>
      </c>
      <c r="C24" s="328" t="s">
        <v>120</v>
      </c>
      <c r="D24" s="336">
        <v>0</v>
      </c>
      <c r="E24" s="328" t="s">
        <v>54</v>
      </c>
      <c r="F24" s="336" t="s">
        <v>104</v>
      </c>
      <c r="G24" s="328" t="s">
        <v>48</v>
      </c>
      <c r="H24" s="14" t="s">
        <v>29</v>
      </c>
      <c r="I24" s="44">
        <v>0</v>
      </c>
      <c r="J24" s="44">
        <v>0</v>
      </c>
      <c r="K24" s="44">
        <v>0</v>
      </c>
      <c r="L24" s="44">
        <v>0</v>
      </c>
      <c r="M24" s="44">
        <v>0</v>
      </c>
      <c r="N24" s="44">
        <v>0</v>
      </c>
      <c r="O24" s="44">
        <v>0</v>
      </c>
      <c r="P24" s="44">
        <v>0</v>
      </c>
      <c r="Q24" s="44">
        <v>0</v>
      </c>
      <c r="R24" s="44">
        <v>0</v>
      </c>
      <c r="S24" s="44">
        <v>0</v>
      </c>
      <c r="T24" s="44">
        <v>0</v>
      </c>
    </row>
    <row r="25" spans="1:22" ht="13.5" customHeight="1">
      <c r="A25" s="609"/>
      <c r="B25" s="344"/>
      <c r="C25" s="329"/>
      <c r="D25" s="329"/>
      <c r="E25" s="329"/>
      <c r="F25" s="333"/>
      <c r="G25" s="329"/>
      <c r="H25" s="14" t="s">
        <v>30</v>
      </c>
      <c r="I25" s="45">
        <v>0</v>
      </c>
      <c r="J25" s="45">
        <v>0</v>
      </c>
      <c r="K25" s="45">
        <v>0</v>
      </c>
      <c r="L25" s="45">
        <v>0</v>
      </c>
      <c r="M25" s="45">
        <v>0</v>
      </c>
      <c r="N25" s="45">
        <v>0</v>
      </c>
      <c r="O25" s="45">
        <v>0</v>
      </c>
      <c r="P25" s="45">
        <v>0</v>
      </c>
      <c r="Q25" s="45"/>
      <c r="R25" s="45"/>
      <c r="S25" s="45"/>
      <c r="T25" s="45"/>
    </row>
    <row r="26" spans="1:22" ht="15" customHeight="1">
      <c r="E26" s="32" t="s">
        <v>86</v>
      </c>
      <c r="H26" s="33" t="str">
        <f>IF(OR($F17="Lower the better",$F17="Lower the Better"),
    IF(I17&gt;I16,$A16,""),
    IF(OR($F17="Higher the better",$F17="Higher the Better"),
       IF(I17&lt;I16,$A16,""),
       ""
    )
)</f>
        <v/>
      </c>
    </row>
    <row r="27" spans="1:22" ht="21">
      <c r="A27" s="10" t="s">
        <v>121</v>
      </c>
    </row>
    <row r="28" spans="1:22">
      <c r="A28" s="28"/>
    </row>
    <row r="29" spans="1:22">
      <c r="A29" s="28"/>
    </row>
    <row r="30" spans="1:22">
      <c r="A30" s="28"/>
    </row>
    <row r="31" spans="1:22">
      <c r="A31" s="28"/>
    </row>
    <row r="32" spans="1:22">
      <c r="A32" s="28"/>
    </row>
    <row r="33" spans="1:14">
      <c r="A33" s="28"/>
    </row>
    <row r="34" spans="1:14">
      <c r="A34" s="28"/>
    </row>
    <row r="35" spans="1:14">
      <c r="A35" s="28"/>
      <c r="N35" t="s">
        <v>122</v>
      </c>
    </row>
    <row r="36" spans="1:14">
      <c r="A36" s="28"/>
    </row>
    <row r="37" spans="1:14">
      <c r="A37" s="28"/>
    </row>
    <row r="38" spans="1:14">
      <c r="A38" s="28"/>
    </row>
    <row r="39" spans="1:14">
      <c r="A39" s="28"/>
    </row>
    <row r="40" spans="1:14">
      <c r="A40" s="28"/>
    </row>
    <row r="41" spans="1:14">
      <c r="A41" s="28"/>
    </row>
    <row r="42" spans="1:14">
      <c r="A42" s="28"/>
    </row>
    <row r="43" spans="1:14">
      <c r="A43" s="28"/>
    </row>
    <row r="44" spans="1:14" ht="21">
      <c r="A44" s="356" t="s">
        <v>123</v>
      </c>
      <c r="B44" s="356"/>
      <c r="C44" s="356"/>
      <c r="D44" s="356"/>
      <c r="E44" s="356"/>
    </row>
    <row r="45" spans="1:14">
      <c r="A45" s="28"/>
    </row>
    <row r="46" spans="1:14" ht="21">
      <c r="A46" s="347" t="s">
        <v>124</v>
      </c>
      <c r="B46" s="347"/>
    </row>
    <row r="47" spans="1:14" ht="20.100000000000001" customHeight="1">
      <c r="A47" s="357" t="s">
        <v>125</v>
      </c>
      <c r="B47" s="359" t="s">
        <v>126</v>
      </c>
      <c r="C47" s="359"/>
      <c r="D47" s="359"/>
      <c r="E47" s="359"/>
      <c r="F47" s="359"/>
    </row>
    <row r="48" spans="1:14" ht="15" customHeight="1">
      <c r="A48" s="358"/>
      <c r="B48" s="150" t="s">
        <v>127</v>
      </c>
      <c r="C48" s="25" t="s">
        <v>128</v>
      </c>
      <c r="D48" s="25" t="s">
        <v>129</v>
      </c>
      <c r="E48" s="25" t="s">
        <v>130</v>
      </c>
      <c r="F48" s="25" t="s">
        <v>131</v>
      </c>
    </row>
    <row r="49" spans="1:6" ht="50.25" customHeight="1">
      <c r="A49" s="234" t="s">
        <v>132</v>
      </c>
      <c r="B49" s="270" t="s">
        <v>133</v>
      </c>
      <c r="C49" s="127" t="s">
        <v>134</v>
      </c>
      <c r="D49" s="127"/>
      <c r="E49" s="127"/>
      <c r="F49" s="127"/>
    </row>
    <row r="50" spans="1:6" ht="24.6" customHeight="1">
      <c r="A50" s="41" t="s">
        <v>135</v>
      </c>
      <c r="B50" s="271">
        <v>0.5</v>
      </c>
      <c r="C50" s="42">
        <v>0.5</v>
      </c>
      <c r="D50" s="42"/>
      <c r="E50" s="42"/>
      <c r="F50" s="42"/>
    </row>
    <row r="51" spans="1:6" ht="19.350000000000001" customHeight="1">
      <c r="A51" s="128" t="s">
        <v>136</v>
      </c>
      <c r="B51" s="150" t="s">
        <v>127</v>
      </c>
      <c r="C51" s="25" t="s">
        <v>128</v>
      </c>
      <c r="D51" s="25" t="s">
        <v>129</v>
      </c>
      <c r="E51" s="25" t="s">
        <v>130</v>
      </c>
      <c r="F51" s="25" t="s">
        <v>131</v>
      </c>
    </row>
    <row r="52" spans="1:6" ht="39" customHeight="1">
      <c r="A52" s="234" t="s">
        <v>113</v>
      </c>
      <c r="B52" s="272" t="s">
        <v>137</v>
      </c>
      <c r="C52" s="127"/>
      <c r="D52" s="127"/>
      <c r="E52" s="217"/>
      <c r="F52" s="127"/>
    </row>
    <row r="53" spans="1:6" ht="19.350000000000001" customHeight="1">
      <c r="A53" s="41" t="s">
        <v>135</v>
      </c>
      <c r="B53" s="273">
        <v>1</v>
      </c>
      <c r="C53" s="42"/>
      <c r="D53" s="42"/>
      <c r="E53" s="42"/>
      <c r="F53" s="42"/>
    </row>
    <row r="54" spans="1:6" ht="19.350000000000001" customHeight="1">
      <c r="A54" s="25" t="s">
        <v>136</v>
      </c>
      <c r="B54" s="150" t="s">
        <v>127</v>
      </c>
      <c r="C54" s="25" t="s">
        <v>128</v>
      </c>
      <c r="D54" s="25" t="s">
        <v>129</v>
      </c>
      <c r="E54" s="25" t="s">
        <v>130</v>
      </c>
      <c r="F54" s="25" t="s">
        <v>131</v>
      </c>
    </row>
    <row r="55" spans="1:6" ht="26.85" customHeight="1">
      <c r="A55" s="27" t="s">
        <v>138</v>
      </c>
      <c r="B55" s="274" t="s">
        <v>139</v>
      </c>
      <c r="C55" s="127" t="s">
        <v>140</v>
      </c>
      <c r="D55" s="41" t="s">
        <v>141</v>
      </c>
      <c r="E55" s="41" t="s">
        <v>142</v>
      </c>
      <c r="F55" s="41" t="s">
        <v>143</v>
      </c>
    </row>
    <row r="56" spans="1:6" ht="19.350000000000001" customHeight="1">
      <c r="A56" s="27" t="s">
        <v>135</v>
      </c>
      <c r="B56" s="271">
        <v>0.5</v>
      </c>
      <c r="C56" s="42">
        <v>0.19</v>
      </c>
      <c r="D56" s="42">
        <v>0.1</v>
      </c>
      <c r="E56" s="42">
        <v>0.08</v>
      </c>
      <c r="F56" s="42">
        <v>0.02</v>
      </c>
    </row>
    <row r="57" spans="1:6" ht="19.350000000000001" customHeight="1">
      <c r="A57" s="25" t="s">
        <v>136</v>
      </c>
      <c r="B57" s="150" t="s">
        <v>127</v>
      </c>
      <c r="C57" s="25" t="s">
        <v>128</v>
      </c>
      <c r="D57" s="25" t="s">
        <v>129</v>
      </c>
      <c r="E57" s="25" t="s">
        <v>130</v>
      </c>
      <c r="F57" s="25" t="s">
        <v>131</v>
      </c>
    </row>
    <row r="58" spans="1:6" ht="19.350000000000001" customHeight="1">
      <c r="B58" s="274"/>
      <c r="C58" s="41"/>
      <c r="D58" s="41"/>
      <c r="E58" s="41"/>
      <c r="F58" s="41"/>
    </row>
    <row r="59" spans="1:6" ht="19.350000000000001" customHeight="1">
      <c r="A59" s="27" t="s">
        <v>135</v>
      </c>
      <c r="B59" s="271"/>
      <c r="C59" s="42"/>
      <c r="D59" s="42"/>
      <c r="E59" s="42"/>
      <c r="F59" s="42"/>
    </row>
    <row r="60" spans="1:6" ht="19.350000000000001" customHeight="1">
      <c r="A60" s="25" t="s">
        <v>136</v>
      </c>
      <c r="B60" s="150" t="s">
        <v>127</v>
      </c>
      <c r="C60" s="25" t="s">
        <v>128</v>
      </c>
      <c r="D60" s="25" t="s">
        <v>129</v>
      </c>
      <c r="E60" s="25" t="s">
        <v>130</v>
      </c>
      <c r="F60" s="25" t="s">
        <v>131</v>
      </c>
    </row>
    <row r="61" spans="1:6" ht="19.350000000000001" customHeight="1">
      <c r="A61" s="27"/>
      <c r="B61" s="274"/>
      <c r="C61" s="41"/>
      <c r="D61" s="41"/>
      <c r="E61" s="41"/>
      <c r="F61" s="41"/>
    </row>
    <row r="62" spans="1:6" ht="19.350000000000001" customHeight="1">
      <c r="A62" s="27" t="s">
        <v>135</v>
      </c>
      <c r="B62" s="271"/>
      <c r="C62" s="42"/>
      <c r="D62" s="42"/>
      <c r="E62" s="42"/>
      <c r="F62" s="42"/>
    </row>
    <row r="63" spans="1:6" ht="19.350000000000001" customHeight="1">
      <c r="A63" s="25" t="s">
        <v>136</v>
      </c>
      <c r="B63" s="150" t="s">
        <v>127</v>
      </c>
      <c r="C63" s="25" t="s">
        <v>128</v>
      </c>
      <c r="D63" s="25" t="s">
        <v>129</v>
      </c>
      <c r="E63" s="25" t="s">
        <v>130</v>
      </c>
      <c r="F63" s="25" t="s">
        <v>131</v>
      </c>
    </row>
    <row r="64" spans="1:6" ht="19.350000000000001" customHeight="1">
      <c r="A64" s="27"/>
      <c r="B64" s="274"/>
      <c r="C64" s="41"/>
      <c r="D64" s="41"/>
      <c r="E64" s="41"/>
      <c r="F64" s="41"/>
    </row>
    <row r="65" spans="1:35" ht="19.350000000000001" customHeight="1">
      <c r="A65" s="27" t="s">
        <v>135</v>
      </c>
      <c r="B65" s="271"/>
      <c r="C65" s="42"/>
      <c r="D65" s="42"/>
      <c r="E65" s="42"/>
      <c r="F65" s="42"/>
    </row>
    <row r="66" spans="1:35" ht="21">
      <c r="A66" s="10" t="s">
        <v>144</v>
      </c>
    </row>
    <row r="67" spans="1:35">
      <c r="A67" s="28"/>
    </row>
    <row r="68" spans="1:35">
      <c r="A68" s="28"/>
    </row>
    <row r="69" spans="1:35">
      <c r="A69" s="28"/>
    </row>
    <row r="70" spans="1:35">
      <c r="A70" s="28"/>
    </row>
    <row r="71" spans="1:35">
      <c r="A71" s="28"/>
    </row>
    <row r="72" spans="1:35">
      <c r="A72" s="28"/>
    </row>
    <row r="73" spans="1:35">
      <c r="A73" s="28"/>
    </row>
    <row r="74" spans="1:35">
      <c r="A74" s="28"/>
    </row>
    <row r="75" spans="1:35">
      <c r="A75" s="28"/>
      <c r="W75" s="15"/>
      <c r="X75" s="15"/>
      <c r="Y75" s="15"/>
      <c r="Z75" s="15"/>
      <c r="AA75" s="15"/>
      <c r="AB75" s="15"/>
      <c r="AC75" s="15"/>
      <c r="AD75" s="15"/>
      <c r="AE75" s="15"/>
      <c r="AF75" s="15"/>
      <c r="AG75" s="15"/>
      <c r="AH75" s="15"/>
      <c r="AI75" s="15"/>
    </row>
    <row r="76" spans="1:35">
      <c r="A76" s="28"/>
    </row>
    <row r="77" spans="1:35">
      <c r="A77" s="28"/>
    </row>
    <row r="78" spans="1:35">
      <c r="A78" s="28"/>
    </row>
    <row r="79" spans="1:35">
      <c r="A79" s="28"/>
    </row>
    <row r="80" spans="1:35">
      <c r="A80" s="28"/>
    </row>
    <row r="81" spans="1:35">
      <c r="A81" s="28"/>
    </row>
    <row r="82" spans="1:35" ht="18.600000000000001">
      <c r="A82" s="360" t="s">
        <v>145</v>
      </c>
      <c r="B82" s="361"/>
      <c r="C82" s="361"/>
      <c r="D82" s="361"/>
      <c r="E82" s="361"/>
      <c r="F82" s="362"/>
      <c r="H82" s="364" t="s">
        <v>146</v>
      </c>
      <c r="I82" s="365"/>
      <c r="J82" s="365"/>
      <c r="K82" s="365"/>
      <c r="L82" s="365"/>
      <c r="M82" s="365"/>
      <c r="N82" s="365"/>
      <c r="O82" s="366"/>
    </row>
    <row r="83" spans="1:35" s="15" customFormat="1" ht="41.85" customHeight="1">
      <c r="A83" s="16" t="s">
        <v>136</v>
      </c>
      <c r="B83" s="275" t="s">
        <v>147</v>
      </c>
      <c r="C83" s="18" t="s">
        <v>148</v>
      </c>
      <c r="D83" s="19" t="s">
        <v>149</v>
      </c>
      <c r="E83" s="17" t="s">
        <v>150</v>
      </c>
      <c r="F83" s="20" t="s">
        <v>151</v>
      </c>
      <c r="G83"/>
      <c r="H83" s="21" t="s">
        <v>58</v>
      </c>
      <c r="I83" s="22" t="s">
        <v>152</v>
      </c>
      <c r="J83" s="22" t="s">
        <v>153</v>
      </c>
      <c r="K83" s="23" t="s">
        <v>154</v>
      </c>
      <c r="L83" s="23" t="s">
        <v>155</v>
      </c>
      <c r="M83" s="24" t="s">
        <v>156</v>
      </c>
      <c r="N83" s="23" t="s">
        <v>157</v>
      </c>
      <c r="O83" s="36" t="s">
        <v>158</v>
      </c>
      <c r="W83"/>
      <c r="X83"/>
      <c r="Y83"/>
      <c r="Z83"/>
      <c r="AA83"/>
      <c r="AB83"/>
      <c r="AC83"/>
      <c r="AD83"/>
      <c r="AE83"/>
      <c r="AF83"/>
      <c r="AG83"/>
      <c r="AH83"/>
      <c r="AI83"/>
    </row>
    <row r="84" spans="1:35" ht="16.5" customHeight="1">
      <c r="A84" s="330" t="s">
        <v>159</v>
      </c>
      <c r="B84" s="343" t="s">
        <v>133</v>
      </c>
      <c r="C84" s="336" t="s">
        <v>160</v>
      </c>
      <c r="D84" s="336" t="s">
        <v>161</v>
      </c>
      <c r="E84" s="337">
        <v>46157</v>
      </c>
      <c r="F84" s="339">
        <v>5</v>
      </c>
      <c r="H84" s="330"/>
      <c r="I84" s="336"/>
      <c r="J84" s="367"/>
      <c r="K84" s="372"/>
      <c r="L84" s="372"/>
      <c r="M84" s="370"/>
      <c r="N84" s="367"/>
      <c r="O84" s="345"/>
    </row>
    <row r="85" spans="1:35" ht="48" customHeight="1">
      <c r="A85" s="331"/>
      <c r="B85" s="382"/>
      <c r="C85" s="333"/>
      <c r="D85" s="333"/>
      <c r="E85" s="338"/>
      <c r="F85" s="340"/>
      <c r="H85" s="331"/>
      <c r="I85" s="333"/>
      <c r="J85" s="368"/>
      <c r="K85" s="373"/>
      <c r="L85" s="373"/>
      <c r="M85" s="371"/>
      <c r="N85" s="368"/>
      <c r="O85" s="346"/>
    </row>
    <row r="86" spans="1:35" ht="27" customHeight="1">
      <c r="A86" s="330" t="s">
        <v>159</v>
      </c>
      <c r="B86" s="343" t="s">
        <v>162</v>
      </c>
      <c r="C86" s="336" t="s">
        <v>163</v>
      </c>
      <c r="D86" s="336" t="s">
        <v>164</v>
      </c>
      <c r="E86" s="337" t="s">
        <v>165</v>
      </c>
      <c r="F86" s="339">
        <v>5</v>
      </c>
      <c r="H86" s="330"/>
      <c r="I86" s="367"/>
      <c r="J86" s="367"/>
      <c r="K86" s="367"/>
      <c r="L86" s="367"/>
      <c r="M86" s="370"/>
      <c r="N86" s="367"/>
      <c r="O86" s="345"/>
    </row>
    <row r="87" spans="1:35" ht="29.25" customHeight="1">
      <c r="A87" s="331"/>
      <c r="B87" s="382"/>
      <c r="C87" s="333"/>
      <c r="D87" s="333"/>
      <c r="E87" s="338"/>
      <c r="F87" s="340"/>
      <c r="H87" s="331"/>
      <c r="I87" s="368"/>
      <c r="J87" s="368"/>
      <c r="K87" s="368"/>
      <c r="L87" s="368"/>
      <c r="M87" s="371"/>
      <c r="N87" s="368"/>
      <c r="O87" s="346"/>
    </row>
    <row r="88" spans="1:35" ht="17.100000000000001" customHeight="1">
      <c r="A88" s="330" t="s">
        <v>159</v>
      </c>
      <c r="B88" s="343" t="s">
        <v>166</v>
      </c>
      <c r="C88" s="336" t="s">
        <v>167</v>
      </c>
      <c r="D88" s="336" t="s">
        <v>164</v>
      </c>
      <c r="E88" s="337">
        <v>46167</v>
      </c>
      <c r="F88" s="339">
        <v>5</v>
      </c>
      <c r="H88" s="330"/>
      <c r="I88" s="367"/>
      <c r="J88" s="367"/>
      <c r="K88" s="367"/>
      <c r="L88" s="367"/>
      <c r="M88" s="370"/>
      <c r="N88" s="367"/>
      <c r="O88" s="345"/>
    </row>
    <row r="89" spans="1:35" ht="16.5" customHeight="1">
      <c r="A89" s="331"/>
      <c r="B89" s="382"/>
      <c r="C89" s="333"/>
      <c r="D89" s="333"/>
      <c r="E89" s="338"/>
      <c r="F89" s="340"/>
      <c r="H89" s="331"/>
      <c r="I89" s="368"/>
      <c r="J89" s="368"/>
      <c r="K89" s="368"/>
      <c r="L89" s="368"/>
      <c r="M89" s="371"/>
      <c r="N89" s="368"/>
      <c r="O89" s="346"/>
    </row>
    <row r="90" spans="1:35" ht="16.5" customHeight="1">
      <c r="A90" s="330" t="s">
        <v>168</v>
      </c>
      <c r="B90" s="343" t="s">
        <v>169</v>
      </c>
      <c r="C90" s="336" t="s">
        <v>170</v>
      </c>
      <c r="D90" s="336" t="s">
        <v>171</v>
      </c>
      <c r="E90" s="337">
        <v>46232</v>
      </c>
      <c r="F90" s="339">
        <v>2</v>
      </c>
      <c r="H90" s="330"/>
      <c r="I90" s="367"/>
      <c r="J90" s="367"/>
      <c r="K90" s="367"/>
      <c r="L90" s="367"/>
      <c r="M90" s="370"/>
      <c r="N90" s="367"/>
      <c r="O90" s="345"/>
    </row>
    <row r="91" spans="1:35" ht="25.5" customHeight="1">
      <c r="A91" s="331"/>
      <c r="B91" s="382"/>
      <c r="C91" s="333"/>
      <c r="D91" s="333"/>
      <c r="E91" s="338"/>
      <c r="F91" s="340"/>
      <c r="H91" s="331"/>
      <c r="I91" s="368"/>
      <c r="J91" s="368"/>
      <c r="K91" s="368"/>
      <c r="L91" s="368"/>
      <c r="M91" s="371"/>
      <c r="N91" s="368"/>
      <c r="O91" s="346"/>
    </row>
    <row r="92" spans="1:35" ht="67.5" customHeight="1">
      <c r="A92" s="297" t="s">
        <v>172</v>
      </c>
      <c r="B92" s="303" t="s">
        <v>137</v>
      </c>
      <c r="C92" s="304" t="s">
        <v>173</v>
      </c>
      <c r="D92" s="306" t="s">
        <v>174</v>
      </c>
      <c r="E92" s="306" t="s">
        <v>175</v>
      </c>
      <c r="F92" s="302">
        <v>5</v>
      </c>
      <c r="H92" s="171"/>
      <c r="I92" s="172"/>
      <c r="J92" s="172"/>
      <c r="K92" s="172"/>
      <c r="L92" s="172"/>
      <c r="M92" s="173"/>
      <c r="N92" s="172"/>
      <c r="O92" s="174"/>
    </row>
    <row r="93" spans="1:35" ht="75" customHeight="1">
      <c r="A93" s="297" t="s">
        <v>172</v>
      </c>
      <c r="B93" s="303" t="s">
        <v>137</v>
      </c>
      <c r="C93" s="304" t="s">
        <v>176</v>
      </c>
      <c r="D93" s="306" t="s">
        <v>174</v>
      </c>
      <c r="E93" s="306" t="s">
        <v>175</v>
      </c>
      <c r="F93" s="302">
        <v>5</v>
      </c>
      <c r="H93" s="171"/>
      <c r="I93" s="172"/>
      <c r="J93" s="172"/>
      <c r="K93" s="172"/>
      <c r="L93" s="172"/>
      <c r="M93" s="173"/>
      <c r="N93" s="172"/>
      <c r="O93" s="174"/>
    </row>
    <row r="94" spans="1:35" ht="43.5" customHeight="1">
      <c r="A94" s="297" t="s">
        <v>172</v>
      </c>
      <c r="B94" s="303" t="s">
        <v>137</v>
      </c>
      <c r="C94" s="298" t="s">
        <v>177</v>
      </c>
      <c r="D94" s="306" t="s">
        <v>178</v>
      </c>
      <c r="E94" s="307">
        <v>46203</v>
      </c>
      <c r="F94" s="302">
        <v>5</v>
      </c>
      <c r="H94" s="171"/>
      <c r="I94" s="172"/>
      <c r="J94" s="172"/>
      <c r="K94" s="172"/>
      <c r="L94" s="172"/>
      <c r="M94" s="173"/>
      <c r="N94" s="172"/>
      <c r="O94" s="174"/>
    </row>
    <row r="95" spans="1:35" ht="46.5" customHeight="1">
      <c r="A95" s="297" t="s">
        <v>172</v>
      </c>
      <c r="B95" s="303" t="s">
        <v>137</v>
      </c>
      <c r="C95" s="298" t="s">
        <v>179</v>
      </c>
      <c r="D95" s="306" t="s">
        <v>180</v>
      </c>
      <c r="E95" s="307">
        <v>46234</v>
      </c>
      <c r="F95" s="302">
        <v>2</v>
      </c>
      <c r="H95" s="171"/>
      <c r="I95" s="172"/>
      <c r="J95" s="172"/>
      <c r="K95" s="172"/>
      <c r="L95" s="172"/>
      <c r="M95" s="173"/>
      <c r="N95" s="172"/>
      <c r="O95" s="174"/>
    </row>
    <row r="96" spans="1:35" ht="48" customHeight="1">
      <c r="A96" s="297" t="s">
        <v>172</v>
      </c>
      <c r="B96" s="303" t="s">
        <v>137</v>
      </c>
      <c r="C96" s="298" t="s">
        <v>181</v>
      </c>
      <c r="D96" s="306" t="s">
        <v>174</v>
      </c>
      <c r="E96" s="306" t="s">
        <v>182</v>
      </c>
      <c r="F96" s="302">
        <v>5</v>
      </c>
      <c r="H96" s="171"/>
      <c r="I96" s="172"/>
      <c r="J96" s="172"/>
      <c r="K96" s="172"/>
      <c r="L96" s="172"/>
      <c r="M96" s="173"/>
      <c r="N96" s="172"/>
      <c r="O96" s="174"/>
    </row>
    <row r="97" spans="1:15" ht="75.75" customHeight="1">
      <c r="A97" s="297" t="s">
        <v>172</v>
      </c>
      <c r="B97" s="303" t="s">
        <v>137</v>
      </c>
      <c r="C97" s="298" t="s">
        <v>183</v>
      </c>
      <c r="D97" s="306" t="s">
        <v>184</v>
      </c>
      <c r="E97" s="306" t="s">
        <v>182</v>
      </c>
      <c r="F97" s="302">
        <v>5</v>
      </c>
      <c r="H97" s="171"/>
      <c r="I97" s="172"/>
      <c r="J97" s="172"/>
      <c r="K97" s="172"/>
      <c r="L97" s="172"/>
      <c r="M97" s="173"/>
      <c r="N97" s="172"/>
      <c r="O97" s="174"/>
    </row>
    <row r="98" spans="1:15" s="269" customFormat="1" ht="59.25" customHeight="1">
      <c r="A98" s="297" t="s">
        <v>172</v>
      </c>
      <c r="B98" s="303" t="s">
        <v>137</v>
      </c>
      <c r="C98" s="305" t="s">
        <v>185</v>
      </c>
      <c r="D98" s="306" t="s">
        <v>186</v>
      </c>
      <c r="E98" s="307">
        <v>46197</v>
      </c>
      <c r="F98" s="302">
        <v>5</v>
      </c>
      <c r="H98" s="299"/>
      <c r="I98" s="300"/>
      <c r="J98" s="300"/>
      <c r="K98" s="300"/>
      <c r="L98" s="300"/>
      <c r="M98" s="300"/>
      <c r="N98" s="300"/>
      <c r="O98" s="301"/>
    </row>
    <row r="99" spans="1:15" ht="30" customHeight="1">
      <c r="A99" s="297" t="s">
        <v>172</v>
      </c>
      <c r="B99" s="303" t="s">
        <v>137</v>
      </c>
      <c r="C99" s="298" t="s">
        <v>187</v>
      </c>
      <c r="D99" s="306" t="s">
        <v>188</v>
      </c>
      <c r="E99" s="307">
        <v>46192</v>
      </c>
      <c r="F99" s="302">
        <v>5</v>
      </c>
      <c r="H99" s="171"/>
      <c r="I99" s="172"/>
      <c r="J99" s="172"/>
      <c r="K99" s="172"/>
      <c r="L99" s="172"/>
      <c r="M99" s="173"/>
      <c r="N99" s="172"/>
      <c r="O99" s="174"/>
    </row>
    <row r="100" spans="1:15" ht="43.5" customHeight="1">
      <c r="A100" s="297" t="s">
        <v>172</v>
      </c>
      <c r="B100" s="303" t="s">
        <v>137</v>
      </c>
      <c r="C100" s="298" t="s">
        <v>189</v>
      </c>
      <c r="D100" s="306" t="s">
        <v>178</v>
      </c>
      <c r="E100" s="307">
        <v>46198</v>
      </c>
      <c r="F100" s="302">
        <v>5</v>
      </c>
      <c r="H100" s="171"/>
      <c r="I100" s="172"/>
      <c r="J100" s="172"/>
      <c r="K100" s="172"/>
      <c r="L100" s="172"/>
      <c r="M100" s="173"/>
      <c r="N100" s="172"/>
      <c r="O100" s="174"/>
    </row>
    <row r="101" spans="1:15" ht="120.75" customHeight="1">
      <c r="A101" s="297" t="s">
        <v>172</v>
      </c>
      <c r="B101" s="303" t="s">
        <v>190</v>
      </c>
      <c r="C101" s="305" t="s">
        <v>191</v>
      </c>
      <c r="D101" s="304" t="s">
        <v>192</v>
      </c>
      <c r="E101" s="307">
        <v>46295</v>
      </c>
      <c r="F101" s="302">
        <v>2</v>
      </c>
      <c r="H101" s="171"/>
      <c r="I101" s="172"/>
      <c r="J101" s="172"/>
      <c r="K101" s="172"/>
      <c r="L101" s="172"/>
      <c r="M101" s="173"/>
      <c r="N101" s="172"/>
      <c r="O101" s="174"/>
    </row>
    <row r="102" spans="1:15" ht="25.5" customHeight="1">
      <c r="A102" s="297" t="s">
        <v>172</v>
      </c>
      <c r="B102" s="303" t="s">
        <v>137</v>
      </c>
      <c r="C102" s="298" t="s">
        <v>193</v>
      </c>
      <c r="D102" s="306" t="s">
        <v>180</v>
      </c>
      <c r="E102" s="306" t="s">
        <v>194</v>
      </c>
      <c r="F102" s="302">
        <v>3</v>
      </c>
      <c r="H102" s="171"/>
      <c r="I102" s="172"/>
      <c r="J102" s="172"/>
      <c r="K102" s="172"/>
      <c r="L102" s="172"/>
      <c r="M102" s="173"/>
      <c r="N102" s="172"/>
      <c r="O102" s="174"/>
    </row>
    <row r="103" spans="1:15" ht="16.5" customHeight="1">
      <c r="A103" s="461"/>
      <c r="B103" s="433"/>
      <c r="C103" s="434"/>
      <c r="D103" s="434"/>
      <c r="E103" s="459"/>
      <c r="F103" s="339">
        <v>1</v>
      </c>
      <c r="H103" s="330"/>
      <c r="I103" s="367"/>
      <c r="J103" s="367"/>
      <c r="K103" s="367"/>
      <c r="L103" s="367"/>
      <c r="M103" s="370"/>
      <c r="N103" s="367"/>
      <c r="O103" s="345"/>
    </row>
    <row r="104" spans="1:15" ht="16.5" customHeight="1">
      <c r="A104" s="331"/>
      <c r="B104" s="382"/>
      <c r="C104" s="333"/>
      <c r="D104" s="333"/>
      <c r="E104" s="338"/>
      <c r="F104" s="340"/>
      <c r="H104" s="331"/>
      <c r="I104" s="368"/>
      <c r="J104" s="368"/>
      <c r="K104" s="368"/>
      <c r="L104" s="368"/>
      <c r="M104" s="371"/>
      <c r="N104" s="368"/>
      <c r="O104" s="346"/>
    </row>
    <row r="105" spans="1:15" ht="16.5" customHeight="1">
      <c r="A105" s="330"/>
      <c r="B105" s="343"/>
      <c r="C105" s="336"/>
      <c r="D105" s="336"/>
      <c r="E105" s="337"/>
      <c r="F105" s="339">
        <v>1</v>
      </c>
      <c r="H105" s="330"/>
      <c r="I105" s="367"/>
      <c r="J105" s="367"/>
      <c r="K105" s="367"/>
      <c r="L105" s="367"/>
      <c r="M105" s="370"/>
      <c r="N105" s="367"/>
      <c r="O105" s="345"/>
    </row>
    <row r="106" spans="1:15" ht="17.100000000000001" customHeight="1" thickBot="1">
      <c r="A106" s="331"/>
      <c r="B106" s="462"/>
      <c r="C106" s="384"/>
      <c r="D106" s="384"/>
      <c r="E106" s="460"/>
      <c r="F106" s="340"/>
      <c r="H106" s="376"/>
      <c r="I106" s="379"/>
      <c r="J106" s="379"/>
      <c r="K106" s="379"/>
      <c r="L106" s="379"/>
      <c r="M106" s="380"/>
      <c r="N106" s="379"/>
      <c r="O106" s="381"/>
    </row>
    <row r="107" spans="1:15">
      <c r="A107" s="34" t="s">
        <v>195</v>
      </c>
      <c r="B107" s="276" t="s">
        <v>196</v>
      </c>
      <c r="C107" s="35" t="s">
        <v>197</v>
      </c>
      <c r="D107" s="35" t="s">
        <v>198</v>
      </c>
      <c r="E107" s="377" t="s">
        <v>199</v>
      </c>
      <c r="F107" s="378"/>
      <c r="G107" s="28"/>
    </row>
    <row r="108" spans="1:15">
      <c r="A108" s="28"/>
      <c r="C108" s="28"/>
      <c r="D108" s="28"/>
      <c r="E108" s="28"/>
      <c r="F108" s="28"/>
      <c r="G108" s="28"/>
    </row>
    <row r="109" spans="1:15">
      <c r="C109" s="28"/>
      <c r="D109" s="28"/>
      <c r="E109" s="28"/>
      <c r="F109" s="28"/>
      <c r="G109" s="28"/>
      <c r="H109" s="28"/>
    </row>
  </sheetData>
  <mergeCells count="147">
    <mergeCell ref="A44:E44"/>
    <mergeCell ref="A103:A104"/>
    <mergeCell ref="B103:B104"/>
    <mergeCell ref="C103:C104"/>
    <mergeCell ref="D103:D104"/>
    <mergeCell ref="A105:A106"/>
    <mergeCell ref="B105:B106"/>
    <mergeCell ref="C105:C106"/>
    <mergeCell ref="D105:D106"/>
    <mergeCell ref="A90:A91"/>
    <mergeCell ref="B90:B91"/>
    <mergeCell ref="C90:C91"/>
    <mergeCell ref="D90:D91"/>
    <mergeCell ref="O105:O106"/>
    <mergeCell ref="O103:O104"/>
    <mergeCell ref="O90:O91"/>
    <mergeCell ref="F90:F91"/>
    <mergeCell ref="E107:F107"/>
    <mergeCell ref="I105:I106"/>
    <mergeCell ref="J105:J106"/>
    <mergeCell ref="K105:K106"/>
    <mergeCell ref="L105:L106"/>
    <mergeCell ref="M105:M106"/>
    <mergeCell ref="N105:N106"/>
    <mergeCell ref="M103:M104"/>
    <mergeCell ref="N103:N104"/>
    <mergeCell ref="I103:I104"/>
    <mergeCell ref="J103:J104"/>
    <mergeCell ref="K103:K104"/>
    <mergeCell ref="L103:L104"/>
    <mergeCell ref="E103:E104"/>
    <mergeCell ref="E105:E106"/>
    <mergeCell ref="F105:F106"/>
    <mergeCell ref="H105:H106"/>
    <mergeCell ref="F103:F104"/>
    <mergeCell ref="H103:H104"/>
    <mergeCell ref="H82:O82"/>
    <mergeCell ref="A84:A85"/>
    <mergeCell ref="B84:B85"/>
    <mergeCell ref="O86:O87"/>
    <mergeCell ref="I86:I87"/>
    <mergeCell ref="J86:J87"/>
    <mergeCell ref="K86:K87"/>
    <mergeCell ref="L86:L87"/>
    <mergeCell ref="O88:O89"/>
    <mergeCell ref="I88:I89"/>
    <mergeCell ref="J88:J89"/>
    <mergeCell ref="K88:K89"/>
    <mergeCell ref="L88:L89"/>
    <mergeCell ref="M88:M89"/>
    <mergeCell ref="O84:O85"/>
    <mergeCell ref="C84:C85"/>
    <mergeCell ref="D84:D85"/>
    <mergeCell ref="E84:E85"/>
    <mergeCell ref="F84:F85"/>
    <mergeCell ref="H84:H85"/>
    <mergeCell ref="I84:I85"/>
    <mergeCell ref="J84:J85"/>
    <mergeCell ref="K84:K85"/>
    <mergeCell ref="L84:L85"/>
    <mergeCell ref="H88:H89"/>
    <mergeCell ref="F86:F87"/>
    <mergeCell ref="H86:H87"/>
    <mergeCell ref="D86:D87"/>
    <mergeCell ref="E86:E87"/>
    <mergeCell ref="M86:M87"/>
    <mergeCell ref="N86:N87"/>
    <mergeCell ref="K90:K91"/>
    <mergeCell ref="L90:L91"/>
    <mergeCell ref="M90:M91"/>
    <mergeCell ref="N90:N91"/>
    <mergeCell ref="N88:N89"/>
    <mergeCell ref="H90:H91"/>
    <mergeCell ref="I90:I91"/>
    <mergeCell ref="J90:J91"/>
    <mergeCell ref="E90:E91"/>
    <mergeCell ref="F20:F21"/>
    <mergeCell ref="G20:G21"/>
    <mergeCell ref="A22:A23"/>
    <mergeCell ref="B22:B23"/>
    <mergeCell ref="G22:G23"/>
    <mergeCell ref="F22:F23"/>
    <mergeCell ref="E22:E23"/>
    <mergeCell ref="C22:C23"/>
    <mergeCell ref="D22:D23"/>
    <mergeCell ref="D20:D21"/>
    <mergeCell ref="E20:E21"/>
    <mergeCell ref="M84:M85"/>
    <mergeCell ref="N84:N85"/>
    <mergeCell ref="G10:G15"/>
    <mergeCell ref="C10:C15"/>
    <mergeCell ref="F10:F11"/>
    <mergeCell ref="F12:F13"/>
    <mergeCell ref="D10:D11"/>
    <mergeCell ref="D12:D13"/>
    <mergeCell ref="A88:A89"/>
    <mergeCell ref="B88:B89"/>
    <mergeCell ref="C88:C89"/>
    <mergeCell ref="D88:D89"/>
    <mergeCell ref="E88:E89"/>
    <mergeCell ref="A86:A87"/>
    <mergeCell ref="B86:B87"/>
    <mergeCell ref="C86:C87"/>
    <mergeCell ref="F88:F89"/>
    <mergeCell ref="A46:B46"/>
    <mergeCell ref="A47:A48"/>
    <mergeCell ref="B47:F47"/>
    <mergeCell ref="A82:F82"/>
    <mergeCell ref="A20:A21"/>
    <mergeCell ref="B20:B21"/>
    <mergeCell ref="C20:C21"/>
    <mergeCell ref="A8:A9"/>
    <mergeCell ref="B8:B9"/>
    <mergeCell ref="C8:C9"/>
    <mergeCell ref="D8:D9"/>
    <mergeCell ref="E8:E9"/>
    <mergeCell ref="F8:F9"/>
    <mergeCell ref="F14:F15"/>
    <mergeCell ref="A10:A15"/>
    <mergeCell ref="E10:E15"/>
    <mergeCell ref="B10:B11"/>
    <mergeCell ref="B12:B13"/>
    <mergeCell ref="B14:B15"/>
    <mergeCell ref="A3:B3"/>
    <mergeCell ref="A24:A25"/>
    <mergeCell ref="B24:B25"/>
    <mergeCell ref="C24:C25"/>
    <mergeCell ref="D24:D25"/>
    <mergeCell ref="E24:E25"/>
    <mergeCell ref="F24:F25"/>
    <mergeCell ref="G24:G25"/>
    <mergeCell ref="A6:A7"/>
    <mergeCell ref="B6:B7"/>
    <mergeCell ref="C6:C7"/>
    <mergeCell ref="D6:D7"/>
    <mergeCell ref="E6:E7"/>
    <mergeCell ref="F6:F7"/>
    <mergeCell ref="G6:G7"/>
    <mergeCell ref="G8:G9"/>
    <mergeCell ref="A16:A17"/>
    <mergeCell ref="B16:B17"/>
    <mergeCell ref="C16:C17"/>
    <mergeCell ref="D16:D17"/>
    <mergeCell ref="D14:D15"/>
    <mergeCell ref="E16:E17"/>
    <mergeCell ref="F16:F17"/>
    <mergeCell ref="G16:G17"/>
  </mergeCells>
  <conditionalFormatting sqref="A6:G6 A8:G8 B24:G24 A84:A106 H84:H106">
    <cfRule type="containsBlanks" dxfId="672" priority="161">
      <formula>LEN(TRIM(A6))=0</formula>
    </cfRule>
  </conditionalFormatting>
  <conditionalFormatting sqref="A16:G16">
    <cfRule type="containsBlanks" dxfId="671" priority="172">
      <formula>LEN(TRIM(A16))=0</formula>
    </cfRule>
  </conditionalFormatting>
  <conditionalFormatting sqref="B92:B102">
    <cfRule type="containsBlanks" dxfId="670" priority="4">
      <formula>LEN(TRIM(B92))=0</formula>
    </cfRule>
  </conditionalFormatting>
  <conditionalFormatting sqref="B84:E84 B86:E86 B88:E88 B90:E90 B103:E103 B105:E105">
    <cfRule type="containsBlanks" dxfId="669" priority="167">
      <formula>LEN(TRIM(B84))=0</formula>
    </cfRule>
  </conditionalFormatting>
  <conditionalFormatting sqref="B49:F50 A55:F55 B56:F56 B58:F59 A61:F61 B62:F62 A64:F64 B65:F65">
    <cfRule type="containsBlanks" dxfId="668" priority="157">
      <formula>LEN(TRIM(A49))=0</formula>
    </cfRule>
  </conditionalFormatting>
  <conditionalFormatting sqref="C10">
    <cfRule type="containsBlanks" dxfId="667" priority="126">
      <formula>LEN(TRIM(C10))=0</formula>
    </cfRule>
  </conditionalFormatting>
  <conditionalFormatting sqref="D1 F1">
    <cfRule type="containsBlanks" dxfId="666" priority="175">
      <formula>LEN(TRIM(D1))=0</formula>
    </cfRule>
  </conditionalFormatting>
  <conditionalFormatting sqref="E94:E95">
    <cfRule type="containsBlanks" dxfId="665" priority="3">
      <formula>LEN(TRIM(E94))=0</formula>
    </cfRule>
  </conditionalFormatting>
  <conditionalFormatting sqref="E98:E101">
    <cfRule type="containsBlanks" dxfId="664" priority="1">
      <formula>LEN(TRIM(E98))=0</formula>
    </cfRule>
  </conditionalFormatting>
  <conditionalFormatting sqref="E10:G10 F12 F14">
    <cfRule type="containsBlanks" dxfId="663" priority="122">
      <formula>LEN(TRIM(E10))=0</formula>
    </cfRule>
  </conditionalFormatting>
  <conditionalFormatting sqref="F84 F86 F88 F90 F103 F105">
    <cfRule type="iconSet" priority="397">
      <iconSet iconSet="5Quarters" showValue="0">
        <cfvo type="percent" val="0"/>
        <cfvo type="num" val="2"/>
        <cfvo type="num" val="3"/>
        <cfvo type="num" val="4"/>
        <cfvo type="num" val="5"/>
      </iconSet>
    </cfRule>
  </conditionalFormatting>
  <conditionalFormatting sqref="F84 F86 F88 F90 F105">
    <cfRule type="expression" dxfId="662" priority="398">
      <formula>AND(#REF!&lt;&gt;"",E84&lt;TODAY(),F84&lt;4)</formula>
    </cfRule>
  </conditionalFormatting>
  <conditionalFormatting sqref="F92:F102">
    <cfRule type="iconSet" priority="5">
      <iconSet iconSet="5Quarters" showValue="0">
        <cfvo type="percent" val="0"/>
        <cfvo type="num" val="2"/>
        <cfvo type="num" val="3"/>
        <cfvo type="num" val="4"/>
        <cfvo type="num" val="5"/>
      </iconSet>
    </cfRule>
  </conditionalFormatting>
  <conditionalFormatting sqref="F92:F103">
    <cfRule type="expression" dxfId="661" priority="6">
      <formula>AND(#REF!&lt;&gt;"",E92&lt;TODAY(),F92&lt;4)</formula>
    </cfRule>
  </conditionalFormatting>
  <conditionalFormatting sqref="I13">
    <cfRule type="expression" dxfId="660" priority="88">
      <formula>AND(OR($F11="Lower the better", $F11="Lower the Better"), I13&gt;I11)</formula>
    </cfRule>
    <cfRule type="expression" dxfId="659" priority="87" stopIfTrue="1">
      <formula>AND(OR($F11="Higher the better", $F11="Higher the Better"), I13&gt;=I11)</formula>
    </cfRule>
    <cfRule type="expression" dxfId="658" priority="86">
      <formula>AND(OR($F11="Higher the better", $F11="Higher the Better"), I13&lt;I11)</formula>
    </cfRule>
    <cfRule type="expression" dxfId="657" priority="84" stopIfTrue="1">
      <formula>AND(OR($F12="Higher the better", $F12="Higher the Better"), I13&gt;=I12)</formula>
    </cfRule>
    <cfRule type="expression" dxfId="656" priority="85">
      <formula>AND(OR($F11="Lower the better", $F11="Lower the Better"), I13&lt;=I11)</formula>
    </cfRule>
    <cfRule type="expression" dxfId="655" priority="69">
      <formula>AND(OR($F12="Lower the better", $F12="Lower the Better"), I13&gt;I12)</formula>
    </cfRule>
    <cfRule type="expression" dxfId="654" priority="70">
      <formula>AND(OR($F12="Lower the better", $F12="Lower the Better"), I13&lt;=I12)</formula>
    </cfRule>
    <cfRule type="expression" dxfId="653" priority="71">
      <formula>AND(OR($F12="Higher the better", $F12="Higher the Better"), I13&lt;I12)</formula>
    </cfRule>
    <cfRule type="expression" dxfId="652" priority="72" stopIfTrue="1">
      <formula>AND(OR($F12="Higher the better", $F12="Higher the Better"), I13&gt;=I12)</formula>
    </cfRule>
    <cfRule type="expression" dxfId="651" priority="73">
      <formula>AND(OR($F12="Lower the better", $F12="Lower the Better"), I13&gt;I12)</formula>
    </cfRule>
    <cfRule type="expression" dxfId="650" priority="74">
      <formula>AND(OR($F12="Lower the better", $F12="Lower the Better"), I13&lt;=I12)</formula>
    </cfRule>
    <cfRule type="expression" dxfId="649" priority="75">
      <formula>AND(OR($F12="Higher the better", $F12="Higher the Better"), I13&lt;I12)</formula>
    </cfRule>
    <cfRule type="expression" dxfId="648" priority="76" stopIfTrue="1">
      <formula>AND(OR($F12="Higher the better", $F12="Higher the Better"), I13&gt;=I12)</formula>
    </cfRule>
    <cfRule type="expression" dxfId="647" priority="77">
      <formula>AND(OR($F11="Lower the better", $F11="Lower the Better"), I13&lt;=I11)</formula>
    </cfRule>
    <cfRule type="expression" dxfId="646" priority="78">
      <formula>AND(OR($F11="Higher the better", $F11="Higher the Better"), I13&lt;I11)</formula>
    </cfRule>
    <cfRule type="expression" dxfId="645" priority="79" stopIfTrue="1">
      <formula>AND(OR($F11="Higher the better", $F11="Higher the Better"), I13&gt;=I11)</formula>
    </cfRule>
    <cfRule type="expression" dxfId="644" priority="80">
      <formula>AND(OR($F11="Lower the better", $F11="Lower the Better"), I13&gt;I11)</formula>
    </cfRule>
    <cfRule type="expression" dxfId="643" priority="81">
      <formula>AND(OR($F12="Lower the better", $F12="Lower the Better"), I13&gt;I12)</formula>
    </cfRule>
    <cfRule type="expression" dxfId="642" priority="82">
      <formula>AND(OR($F12="Lower the better", $F12="Lower the Better"), I13&lt;=I12)</formula>
    </cfRule>
    <cfRule type="expression" dxfId="641" priority="83">
      <formula>AND(OR($F12="Higher the better", $F12="Higher the Better"), I13&lt;I12)</formula>
    </cfRule>
  </conditionalFormatting>
  <conditionalFormatting sqref="I15">
    <cfRule type="expression" dxfId="640" priority="20">
      <formula>AND(OR($F14="Lower the better", $F14="Lower the Better"), I15&lt;=I14)</formula>
    </cfRule>
    <cfRule type="expression" dxfId="639" priority="22" stopIfTrue="1">
      <formula>AND(OR($F14="Higher the better", $F14="Higher the Better"), I15&gt;=I14)</formula>
    </cfRule>
    <cfRule type="expression" dxfId="638" priority="23">
      <formula>AND(OR($F14="Lower the better", $F14="Lower the Better"), I15&gt;I14)</formula>
    </cfRule>
    <cfRule type="expression" dxfId="637" priority="24">
      <formula>AND(OR($F14="Lower the better", $F14="Lower the Better"), I15&lt;=I14)</formula>
    </cfRule>
    <cfRule type="expression" dxfId="636" priority="25">
      <formula>AND(OR($F14="Higher the better", $F14="Higher the Better"), I15&lt;I14)</formula>
    </cfRule>
    <cfRule type="expression" dxfId="635" priority="26" stopIfTrue="1">
      <formula>AND(OR($F14="Higher the better", $F14="Higher the Better"), I15&gt;=I14)</formula>
    </cfRule>
    <cfRule type="expression" dxfId="634" priority="27">
      <formula>AND(OR($F14="Lower the better", $F14="Lower the Better"), I15&gt;I14)</formula>
    </cfRule>
    <cfRule type="expression" dxfId="633" priority="28">
      <formula>AND(OR($F14="Lower the better", $F14="Lower the Better"), I15&lt;=I14)</formula>
    </cfRule>
    <cfRule type="expression" dxfId="632" priority="29">
      <formula>AND(OR($F14="Higher the better", $F14="Higher the Better"), I15&lt;I14)</formula>
    </cfRule>
    <cfRule type="expression" dxfId="631" priority="30" stopIfTrue="1">
      <formula>AND(OR($F14="Higher the better", $F14="Higher the Better"), I15&gt;=I14)</formula>
    </cfRule>
    <cfRule type="expression" dxfId="630" priority="31">
      <formula>AND(OR($F13="Lower the better", $F13="Lower the Better"), I15&lt;=I13)</formula>
    </cfRule>
    <cfRule type="expression" dxfId="629" priority="32">
      <formula>AND(OR($F13="Higher the better", $F13="Higher the Better"), I15&lt;I13)</formula>
    </cfRule>
    <cfRule type="expression" dxfId="628" priority="33" stopIfTrue="1">
      <formula>AND(OR($F13="Higher the better", $F13="Higher the Better"), I15&gt;=I13)</formula>
    </cfRule>
    <cfRule type="expression" dxfId="627" priority="34">
      <formula>AND(OR($F13="Lower the better", $F13="Lower the Better"), I15&gt;I13)</formula>
    </cfRule>
    <cfRule type="expression" dxfId="626" priority="35">
      <formula>AND(OR($F14="Lower the better", $F14="Lower the Better"), I15&gt;I14)</formula>
    </cfRule>
    <cfRule type="expression" dxfId="625" priority="36">
      <formula>AND(OR($F14="Lower the better", $F14="Lower the Better"), I15&lt;=I14)</formula>
    </cfRule>
    <cfRule type="expression" dxfId="624" priority="37">
      <formula>AND(OR($F14="Higher the better", $F14="Higher the Better"), I15&lt;I14)</formula>
    </cfRule>
    <cfRule type="expression" dxfId="623" priority="38" stopIfTrue="1">
      <formula>AND(OR($F14="Higher the better", $F14="Higher the Better"), I15&gt;=I14)</formula>
    </cfRule>
    <cfRule type="expression" dxfId="622" priority="39">
      <formula>AND(OR($F13="Lower the better", $F13="Lower the Better"), I15&lt;=I13)</formula>
    </cfRule>
    <cfRule type="expression" dxfId="621" priority="40">
      <formula>AND(OR($F13="Higher the better", $F13="Higher the Better"), I15&lt;I13)</formula>
    </cfRule>
    <cfRule type="expression" dxfId="620" priority="41" stopIfTrue="1">
      <formula>AND(OR($F13="Higher the better", $F13="Higher the Better"), I15&gt;=I13)</formula>
    </cfRule>
    <cfRule type="expression" dxfId="619" priority="42">
      <formula>AND(OR($F13="Lower the better", $F13="Lower the Better"), I15&gt;I13)</formula>
    </cfRule>
    <cfRule type="expression" dxfId="618" priority="43">
      <formula>AND(OR($F14="Lower the better", $F14="Lower the Better"), I15&gt;I14)</formula>
    </cfRule>
    <cfRule type="expression" dxfId="617" priority="44">
      <formula>AND(OR($F14="Lower the better", $F14="Lower the Better"), I15&lt;=I14)</formula>
    </cfRule>
    <cfRule type="expression" dxfId="616" priority="45">
      <formula>AND(OR($F14="Higher the better", $F14="Higher the Better"), I15&lt;I14)</formula>
    </cfRule>
    <cfRule type="expression" dxfId="615" priority="46" stopIfTrue="1">
      <formula>AND(OR($F14="Higher the better", $F14="Higher the Better"), I15&gt;=I14)</formula>
    </cfRule>
    <cfRule type="expression" dxfId="614" priority="47">
      <formula>AND(OR($F14="Lower the better", $F14="Lower the Better"), I15&gt;I14)</formula>
    </cfRule>
    <cfRule type="expression" dxfId="613" priority="48">
      <formula>AND(OR($F14="Lower the better", $F14="Lower the Better"), I15&lt;=I14)</formula>
    </cfRule>
    <cfRule type="expression" dxfId="612" priority="49">
      <formula>AND(OR($F14="Higher the better", $F14="Higher the Better"), I15&lt;I14)</formula>
    </cfRule>
    <cfRule type="expression" dxfId="611" priority="50" stopIfTrue="1">
      <formula>AND(OR($F14="Higher the better", $F14="Higher the Better"), I15&gt;=I14)</formula>
    </cfRule>
    <cfRule type="expression" dxfId="610" priority="51">
      <formula>AND(OR($F11="Lower the better", $F11="Lower the Better"), I15&lt;=I11)</formula>
    </cfRule>
    <cfRule type="expression" dxfId="609" priority="52">
      <formula>AND(OR($F11="Higher the better", $F11="Higher the Better"), I15&lt;I11)</formula>
    </cfRule>
    <cfRule type="expression" dxfId="608" priority="53" stopIfTrue="1">
      <formula>AND(OR($F11="Higher the better", $F11="Higher the Better"), I15&gt;=I11)</formula>
    </cfRule>
    <cfRule type="expression" dxfId="607" priority="54">
      <formula>AND(OR($F11="Lower the better", $F11="Lower the Better"), I15&gt;I11)</formula>
    </cfRule>
    <cfRule type="expression" dxfId="606" priority="21">
      <formula>AND(OR($F14="Higher the better", $F14="Higher the Better"), I15&lt;I14)</formula>
    </cfRule>
    <cfRule type="expression" dxfId="605" priority="19">
      <formula>AND(OR($F14="Lower the better", $F14="Lower the Better"), I15&gt;I14)</formula>
    </cfRule>
  </conditionalFormatting>
  <conditionalFormatting sqref="I84">
    <cfRule type="containsBlanks" dxfId="604" priority="17">
      <formula>LEN(TRIM(I84))=0</formula>
    </cfRule>
  </conditionalFormatting>
  <conditionalFormatting sqref="I7:T7 I9:T9 I25:T25">
    <cfRule type="expression" dxfId="603" priority="165" stopIfTrue="1">
      <formula>AND(OR($F6="Higher the better", $F6="Higher the Better"), I7&gt;=I6)</formula>
    </cfRule>
    <cfRule type="expression" dxfId="602" priority="164">
      <formula>AND(OR($F6="Higher the better", $F6="Higher the Better"), I7&lt;I6)</formula>
    </cfRule>
    <cfRule type="expression" dxfId="601" priority="163">
      <formula>AND(OR($F6="Lower the better", $F6="Lower the Better"), I7&lt;=I6)</formula>
    </cfRule>
  </conditionalFormatting>
  <conditionalFormatting sqref="I11:T11">
    <cfRule type="expression" dxfId="600" priority="98">
      <formula>AND(OR($F10="Lower the better", $F10="Lower the Better"), I11&gt;I10)</formula>
    </cfRule>
    <cfRule type="expression" dxfId="599" priority="100">
      <formula>AND(OR($F10="Higher the better", $F10="Higher the Better"), I11&lt;I10)</formula>
    </cfRule>
    <cfRule type="expression" dxfId="598" priority="101" stopIfTrue="1">
      <formula>AND(OR($F10="Higher the better", $F10="Higher the Better"), I11&gt;=I10)</formula>
    </cfRule>
    <cfRule type="expression" dxfId="597" priority="300">
      <formula>AND(OR($F9="Lower the better", $F9="Lower the Better"), I11&gt;I9)</formula>
    </cfRule>
    <cfRule type="expression" dxfId="596" priority="297">
      <formula>AND(OR($F9="Higher the better", $F9="Higher the Better"), I11&lt;I9)</formula>
    </cfRule>
    <cfRule type="expression" dxfId="595" priority="298" stopIfTrue="1">
      <formula>AND(OR($F9="Higher the better", $F9="Higher the Better"), I11&gt;=I9)</formula>
    </cfRule>
    <cfRule type="expression" dxfId="594" priority="296">
      <formula>AND(OR($F9="Lower the better", $F9="Lower the Better"), I11&lt;=I9)</formula>
    </cfRule>
    <cfRule type="expression" dxfId="593" priority="99">
      <formula>AND(OR($F10="Lower the better", $F10="Lower the Better"), I11&lt;=I10)</formula>
    </cfRule>
  </conditionalFormatting>
  <conditionalFormatting sqref="I13:T13">
    <cfRule type="expression" dxfId="592" priority="89">
      <formula>AND(OR($F12="Lower the better", $F12="Lower the Better"), I13&gt;I12)</formula>
    </cfRule>
    <cfRule type="expression" dxfId="591" priority="90">
      <formula>AND(OR($F12="Lower the better", $F12="Lower the Better"), I13&lt;=I12)</formula>
    </cfRule>
    <cfRule type="expression" dxfId="590" priority="91">
      <formula>AND(OR($F12="Higher the better", $F12="Higher the Better"), I13&lt;I12)</formula>
    </cfRule>
    <cfRule type="expression" dxfId="589" priority="93">
      <formula>AND(OR($F12="Lower the better", $F12="Lower the Better"), I13&gt;I12)</formula>
    </cfRule>
    <cfRule type="expression" dxfId="588" priority="94">
      <formula>AND(OR($F12="Lower the better", $F12="Lower the Better"), I13&lt;=I12)</formula>
    </cfRule>
    <cfRule type="expression" dxfId="587" priority="264">
      <formula>AND(OR($F9="Lower the better", $F9="Lower the Better"), I13&gt;I9)</formula>
    </cfRule>
    <cfRule type="expression" dxfId="586" priority="96" stopIfTrue="1">
      <formula>AND(OR($F12="Higher the better", $F12="Higher the Better"), I13&gt;=I12)</formula>
    </cfRule>
    <cfRule type="expression" dxfId="585" priority="92" stopIfTrue="1">
      <formula>AND(OR($F12="Higher the better", $F12="Higher the Better"), I13&gt;=I12)</formula>
    </cfRule>
    <cfRule type="expression" dxfId="584" priority="261">
      <formula>AND(OR($F9="Higher the better", $F9="Higher the Better"), I13&lt;I9)</formula>
    </cfRule>
    <cfRule type="expression" dxfId="583" priority="95">
      <formula>AND(OR($F12="Higher the better", $F12="Higher the Better"), I13&lt;I12)</formula>
    </cfRule>
    <cfRule type="expression" dxfId="582" priority="260">
      <formula>AND(OR($F9="Lower the better", $F9="Lower the Better"), I13&lt;=I9)</formula>
    </cfRule>
    <cfRule type="expression" dxfId="581" priority="262" stopIfTrue="1">
      <formula>AND(OR($F9="Higher the better", $F9="Higher the Better"), I13&gt;=I9)</formula>
    </cfRule>
  </conditionalFormatting>
  <conditionalFormatting sqref="I15:T15 I7:T7 I9:T9 I11:T11 I13:T13">
    <cfRule type="containsBlanks" dxfId="580" priority="68">
      <formula>LEN(TRIM(I7))=0</formula>
    </cfRule>
  </conditionalFormatting>
  <conditionalFormatting sqref="I15:T15">
    <cfRule type="expression" dxfId="579" priority="303">
      <formula>AND(OR($F10="Lower the better", $F10="Lower the Better"), I15&lt;=I14)</formula>
    </cfRule>
    <cfRule type="expression" dxfId="578" priority="304">
      <formula>AND(OR($F10="Higher the better", $F10="Higher the Better"), I15&lt;I14)</formula>
    </cfRule>
    <cfRule type="expression" dxfId="577" priority="305" stopIfTrue="1">
      <formula>AND(OR($F10="Higher the better", $F10="Higher the Better"), I15&gt;=I14)</formula>
    </cfRule>
    <cfRule type="expression" dxfId="576" priority="306">
      <formula>AND(OR($F10="Lower the better", $F10="Lower the Better"), I15&gt;I14)</formula>
    </cfRule>
  </conditionalFormatting>
  <conditionalFormatting sqref="I17:T17">
    <cfRule type="expression" dxfId="575" priority="9">
      <formula>AND(OR($F16="Lower the better", $F16="Lower the Better"), I17&lt;=I16)</formula>
    </cfRule>
    <cfRule type="expression" dxfId="574" priority="8">
      <formula>AND(OR($F16="Lower the better", $F16="Lower the Better"), I17&gt;I16)</formula>
    </cfRule>
    <cfRule type="containsBlanks" dxfId="573" priority="7">
      <formula>LEN(TRIM(I17))=0</formula>
    </cfRule>
    <cfRule type="expression" dxfId="572" priority="11" stopIfTrue="1">
      <formula>AND(OR($F16="Higher the better", $F16="Higher the Better"), I17&gt;=I16)</formula>
    </cfRule>
    <cfRule type="expression" dxfId="571" priority="10">
      <formula>AND(OR($F16="Higher the better", $F16="Higher the Better"), I17&lt;I16)</formula>
    </cfRule>
  </conditionalFormatting>
  <conditionalFormatting sqref="I21:T21">
    <cfRule type="expression" dxfId="570" priority="132">
      <formula>AND(OR($F20="Lower the better", $F20="Lower the Better"), I21&gt;I20)</formula>
    </cfRule>
    <cfRule type="expression" dxfId="569" priority="133">
      <formula>AND(OR($F20="Lower the better", $F20="Lower the Better"), I21&lt;=I20)</formula>
    </cfRule>
    <cfRule type="expression" dxfId="568" priority="131" stopIfTrue="1">
      <formula>AND(OR($F20="Higher the better", $F20="Higher the Better"), I21&gt;=I20)</formula>
    </cfRule>
    <cfRule type="expression" dxfId="567" priority="134">
      <formula>AND(OR($F20="Higher the better", $F20="Higher the Better"), I21&lt;I20)</formula>
    </cfRule>
    <cfRule type="expression" dxfId="566" priority="129">
      <formula>AND(OR($F20="Lower the better", $F20="Lower the Better"), I21&lt;=I20)</formula>
    </cfRule>
    <cfRule type="expression" dxfId="565" priority="130">
      <formula>AND(OR($F20="Higher the better", $F20="Higher the Better"), I21&lt;I20)</formula>
    </cfRule>
    <cfRule type="expression" dxfId="564" priority="135" stopIfTrue="1">
      <formula>AND(OR($F20="Higher the better", $F20="Higher the Better"), I21&gt;=I20)</formula>
    </cfRule>
    <cfRule type="expression" dxfId="563" priority="128">
      <formula>AND(OR($F20="Lower the better", $F20="Lower the Better"), I21&gt;I20)</formula>
    </cfRule>
  </conditionalFormatting>
  <conditionalFormatting sqref="I23:T23">
    <cfRule type="expression" dxfId="562" priority="112">
      <formula>AND(OR($F22="Lower the better", $F22="Lower the Better"), I23&gt;I22)</formula>
    </cfRule>
    <cfRule type="expression" dxfId="561" priority="113">
      <formula>AND(OR($F22="Lower the better", $F22="Lower the Better"), I23&lt;=I22)</formula>
    </cfRule>
    <cfRule type="expression" dxfId="560" priority="115" stopIfTrue="1">
      <formula>AND(OR($F22="Higher the better", $F22="Higher the Better"), I23&gt;=I22)</formula>
    </cfRule>
    <cfRule type="expression" dxfId="559" priority="116">
      <formula>AND(OR($F22="Lower the better", $F22="Lower the Better"), I23&gt;I22)</formula>
    </cfRule>
    <cfRule type="expression" dxfId="558" priority="117">
      <formula>AND(OR($F22="Lower the better", $F22="Lower the Better"), I23&lt;=I22)</formula>
    </cfRule>
    <cfRule type="expression" dxfId="557" priority="118">
      <formula>AND(OR($F22="Higher the better", $F22="Higher the Better"), I23&lt;I22)</formula>
    </cfRule>
    <cfRule type="expression" dxfId="556" priority="119" stopIfTrue="1">
      <formula>AND(OR($F22="Higher the better", $F22="Higher the Better"), I23&gt;=I22)</formula>
    </cfRule>
    <cfRule type="expression" dxfId="555" priority="114">
      <formula>AND(OR($F22="Higher the better", $F22="Higher the Better"), I23&lt;I22)</formula>
    </cfRule>
  </conditionalFormatting>
  <conditionalFormatting sqref="I23:T25 I20:T21 B52:D52 F52 B53:F53">
    <cfRule type="containsBlanks" dxfId="554" priority="102">
      <formula>LEN(TRIM(B20))=0</formula>
    </cfRule>
  </conditionalFormatting>
  <conditionalFormatting sqref="I25:T25 I7:T7 I9:T9">
    <cfRule type="expression" dxfId="553" priority="162">
      <formula>AND(OR($F6="Lower the better", $F6="Lower the Better"), I7&gt;I6)</formula>
    </cfRule>
  </conditionalFormatting>
  <conditionalFormatting sqref="J23:M23">
    <cfRule type="expression" dxfId="552" priority="107" stopIfTrue="1">
      <formula>AND(OR($F22="Higher the better", $F22="Higher the Better"), J23&gt;=J22)</formula>
    </cfRule>
    <cfRule type="expression" dxfId="551" priority="105">
      <formula>AND(OR($F22="Lower the better", $F22="Lower the Better"), J23&lt;=J22)</formula>
    </cfRule>
    <cfRule type="expression" dxfId="550" priority="106">
      <formula>AND(OR($F22="Higher the better", $F22="Higher the Better"), J23&lt;J22)</formula>
    </cfRule>
    <cfRule type="expression" dxfId="549" priority="104">
      <formula>AND(OR($F22="Lower the better", $F22="Lower the Better"), J23&gt;J22)</formula>
    </cfRule>
  </conditionalFormatting>
  <conditionalFormatting sqref="J84:O84 I86:O86 I88:O88 I90:O90 I103:O103 I105:O105">
    <cfRule type="containsBlanks" dxfId="548" priority="166">
      <formula>LEN(TRIM(I84))=0</formula>
    </cfRule>
  </conditionalFormatting>
  <conditionalFormatting sqref="J23:T23">
    <cfRule type="expression" dxfId="547" priority="111" stopIfTrue="1">
      <formula>AND(OR($F22="Higher the better", $F22="Higher the Better"), J23&gt;=J22)</formula>
    </cfRule>
    <cfRule type="expression" dxfId="546" priority="110">
      <formula>AND(OR($F22="Higher the better", $F22="Higher the Better"), J23&lt;J22)</formula>
    </cfRule>
    <cfRule type="expression" dxfId="545" priority="109">
      <formula>AND(OR($F22="Lower the better", $F22="Lower the Better"), J23&lt;=J22)</formula>
    </cfRule>
    <cfRule type="expression" dxfId="544" priority="108">
      <formula>AND(OR($F22="Lower the better", $F22="Lower the Better"), J23&gt;J22)</formula>
    </cfRule>
  </conditionalFormatting>
  <conditionalFormatting sqref="M84:M106">
    <cfRule type="containsText" dxfId="543" priority="154" operator="containsText" text="No">
      <formula>NOT(ISERROR(SEARCH("No",M84)))</formula>
    </cfRule>
    <cfRule type="containsText" dxfId="542" priority="155" operator="containsText" text="Yes">
      <formula>NOT(ISERROR(SEARCH("Yes",M84)))</formula>
    </cfRule>
  </conditionalFormatting>
  <conditionalFormatting sqref="N23:P23">
    <cfRule type="expression" dxfId="541" priority="13">
      <formula>AND(OR($F22="Lower the better", $F22="Lower the Better"), N23&lt;=N22)</formula>
    </cfRule>
    <cfRule type="expression" dxfId="540" priority="15" stopIfTrue="1">
      <formula>AND(OR($F22="Higher the better", $F22="Higher the Better"), N23&gt;=N22)</formula>
    </cfRule>
    <cfRule type="expression" dxfId="539" priority="14">
      <formula>AND(OR($F22="Higher the better", $F22="Higher the Better"), N23&lt;N22)</formula>
    </cfRule>
    <cfRule type="expression" dxfId="538" priority="12">
      <formula>AND(OR($F22="Lower the better", $F22="Lower the Better"), N23&gt;N22)</formula>
    </cfRule>
  </conditionalFormatting>
  <dataValidations count="7">
    <dataValidation type="list" allowBlank="1" showInputMessage="1" showErrorMessage="1" sqref="B1:B2" xr:uid="{AE6E334D-37A0-455A-92AE-F4B41F7565C6}">
      <formula1>"Jan-2026, Feb-2026, Mar-2026, Apr-2026, May-2026, Jun-2026, Jul-2026, Aug-2026, Sep-2026, Oct-2026, Nov-2026, Dec-2026"</formula1>
    </dataValidation>
    <dataValidation type="list" allowBlank="1" showInputMessage="1" showErrorMessage="1" sqref="M86 M105 M88 M90 M103 M84" xr:uid="{C0B338EA-A7D8-4C42-AE5A-976148E5E7F8}">
      <formula1>"Yes, No"</formula1>
    </dataValidation>
    <dataValidation type="list" allowBlank="1" showInputMessage="1" showErrorMessage="1" sqref="F84:G84 F86:G86 F88:G88 F90:G90 F103:G103 F105:G105 F92:F102" xr:uid="{B58F5F9C-9909-4DB0-99FC-EA8A77865196}">
      <formula1>"1,2,3,4,5"</formula1>
    </dataValidation>
    <dataValidation type="list" allowBlank="1" showInputMessage="1" showErrorMessage="1" sqref="E6:E10 E22 E16:E19 E24:E25" xr:uid="{E2AFB6A9-2A06-4396-8957-F69AD09BA380}">
      <formula1>"%, Mn, No., "</formula1>
    </dataValidation>
    <dataValidation type="list" allowBlank="1" showInputMessage="1" showErrorMessage="1" sqref="C6:C10 C22 C16:C19 C24:C25" xr:uid="{4E7E9D45-C15A-4D89-A86B-C08EFD4B691C}">
      <formula1>"&gt;, &lt;, &gt;=, &lt;=, ="</formula1>
    </dataValidation>
    <dataValidation type="list" allowBlank="1" showInputMessage="1" showErrorMessage="1" sqref="G6:G10 G22 G16:G19 G24:G25" xr:uid="{0B0CB34E-1037-4250-97EB-FD16DD22025B}">
      <formula1>"Monthly, Quarterly, Half yearly"</formula1>
    </dataValidation>
    <dataValidation type="list" allowBlank="1" showInputMessage="1" showErrorMessage="1" sqref="F14 F22 F16:F19 F6:F10 F12 F24:F25" xr:uid="{87ADEE2F-74CA-47AF-9699-798CFED18206}">
      <formula1>"Higher the better, Lower the better"</formula1>
    </dataValidation>
  </dataValidations>
  <pageMargins left="0.7" right="0.7" top="0.75" bottom="0.75" header="0.3" footer="0.3"/>
  <pageSetup orientation="portrait" r:id="rId1"/>
  <customProperties>
    <customPr name="_pios_id" r:id="rId2"/>
  </customProperties>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2E2C1-39E1-494C-8153-2DF2CD124033}">
  <sheetPr codeName="Sheet3"/>
  <dimension ref="A1:AH94"/>
  <sheetViews>
    <sheetView topLeftCell="A6" zoomScale="95" zoomScaleNormal="69" workbookViewId="0">
      <pane xSplit="1" topLeftCell="B1" activePane="topRight" state="frozen"/>
      <selection pane="topRight" activeCell="A14" sqref="A14:A15"/>
      <selection activeCell="A31" sqref="A31"/>
    </sheetView>
  </sheetViews>
  <sheetFormatPr defaultRowHeight="14.45"/>
  <cols>
    <col min="1" max="1" width="21" customWidth="1"/>
    <col min="2" max="2" width="38.42578125" style="28" customWidth="1"/>
    <col min="3" max="3" width="15.42578125" bestFit="1" customWidth="1"/>
    <col min="4" max="4" width="19.5703125" customWidth="1"/>
    <col min="5" max="5" width="21" customWidth="1"/>
    <col min="6" max="6" width="20.5703125" customWidth="1"/>
    <col min="7" max="7" width="12" customWidth="1"/>
    <col min="8" max="8" width="14.5703125" customWidth="1"/>
    <col min="9" max="9" width="14.5703125" bestFit="1" customWidth="1"/>
    <col min="10" max="10" width="13.5703125" bestFit="1" customWidth="1"/>
    <col min="11" max="11" width="18.5703125" bestFit="1"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5.42578125" customWidth="1"/>
    <col min="22" max="22" width="17.42578125" hidden="1" customWidth="1"/>
    <col min="23" max="24" width="8.5703125" hidden="1" customWidth="1"/>
    <col min="25" max="25" width="14.42578125" hidden="1" customWidth="1"/>
    <col min="26" max="34" width="8.5703125" hidden="1" customWidth="1"/>
    <col min="35" max="49" width="8.5703125" customWidth="1"/>
  </cols>
  <sheetData>
    <row r="1" spans="1:34" ht="19.350000000000001" customHeight="1">
      <c r="A1" s="12" t="s">
        <v>0</v>
      </c>
      <c r="B1" s="30">
        <v>46023</v>
      </c>
      <c r="C1" s="12" t="s">
        <v>88</v>
      </c>
      <c r="D1" s="12" t="s">
        <v>31</v>
      </c>
      <c r="E1" s="12" t="s">
        <v>89</v>
      </c>
      <c r="F1" s="39" t="s">
        <v>200</v>
      </c>
      <c r="V1" t="s">
        <v>90</v>
      </c>
      <c r="W1">
        <f>IF(I15&lt;&gt;"",IF($F14="Higher the better",IF(I15&gt;=I14,I15,NA()),IF(I15&lt;=I14,I15,NA())),NA())</f>
        <v>0</v>
      </c>
      <c r="X1">
        <f t="shared" ref="X1:AH1" si="0">IF(J15&lt;&gt;"",IF($F14="Higher the better",IF(J15&gt;=J14,J15,NA()),IF(J15&lt;=J14,J15,NA())),NA())</f>
        <v>1.1111111111111112E-2</v>
      </c>
      <c r="Y1">
        <f t="shared" si="0"/>
        <v>0</v>
      </c>
      <c r="Z1">
        <f t="shared" si="0"/>
        <v>0</v>
      </c>
      <c r="AA1">
        <f t="shared" si="0"/>
        <v>0</v>
      </c>
      <c r="AB1">
        <f t="shared" si="0"/>
        <v>0</v>
      </c>
      <c r="AC1">
        <f t="shared" si="0"/>
        <v>0</v>
      </c>
      <c r="AD1">
        <f t="shared" si="0"/>
        <v>0</v>
      </c>
      <c r="AE1" t="e">
        <f t="shared" si="0"/>
        <v>#N/A</v>
      </c>
      <c r="AF1" t="e">
        <f t="shared" si="0"/>
        <v>#N/A</v>
      </c>
      <c r="AG1" t="e">
        <f t="shared" si="0"/>
        <v>#N/A</v>
      </c>
      <c r="AH1" t="e">
        <f t="shared" si="0"/>
        <v>#N/A</v>
      </c>
    </row>
    <row r="2" spans="1:34" ht="19.350000000000001" customHeight="1">
      <c r="B2" s="37"/>
      <c r="D2" s="13"/>
      <c r="E2" s="13"/>
      <c r="V2" t="s">
        <v>91</v>
      </c>
      <c r="W2" t="e">
        <f>IF(I15&lt;&gt;"",IF($F14="Higher the better",IF(I15&lt;I14,I15,NA()),IF(I15&gt;I14,I15,NA())),NA())</f>
        <v>#N/A</v>
      </c>
      <c r="X2" t="e">
        <f t="shared" ref="X2:AH2" si="1">IF(J15&lt;&gt;"",IF($F14="Higher the better",IF(J15&lt;J14,J15,NA()),IF(J15&gt;J14,J15,NA())),NA())</f>
        <v>#N/A</v>
      </c>
      <c r="Y2" t="e">
        <f t="shared" si="1"/>
        <v>#N/A</v>
      </c>
      <c r="Z2" t="e">
        <f t="shared" si="1"/>
        <v>#N/A</v>
      </c>
      <c r="AA2" t="e">
        <f t="shared" si="1"/>
        <v>#N/A</v>
      </c>
      <c r="AB2" t="e">
        <f t="shared" si="1"/>
        <v>#N/A</v>
      </c>
      <c r="AC2" t="e">
        <f t="shared" si="1"/>
        <v>#N/A</v>
      </c>
      <c r="AD2" t="e">
        <f t="shared" si="1"/>
        <v>#N/A</v>
      </c>
      <c r="AE2" t="e">
        <f t="shared" si="1"/>
        <v>#N/A</v>
      </c>
      <c r="AF2" t="e">
        <f t="shared" si="1"/>
        <v>#N/A</v>
      </c>
      <c r="AG2" t="e">
        <f t="shared" si="1"/>
        <v>#N/A</v>
      </c>
      <c r="AH2" t="e">
        <f t="shared" si="1"/>
        <v>#N/A</v>
      </c>
    </row>
    <row r="3" spans="1:34" ht="20.100000000000001" customHeight="1">
      <c r="A3" s="347" t="s">
        <v>201</v>
      </c>
      <c r="B3" s="347"/>
      <c r="V3" t="s">
        <v>90</v>
      </c>
      <c r="W3">
        <f>IF(I17&lt;&gt;"",IF($F16="Higher the better",IF(I17&gt;=I16,I17,NA()),IF(I17&lt;=I16,I17,NA())),NA())</f>
        <v>1</v>
      </c>
      <c r="X3" t="e">
        <f t="shared" ref="X3:AH3" si="2">IF(J17&lt;&gt;"",IF($F16="Higher the better",IF(J17&gt;=J16,J17,NA()),IF(J17&lt;=J16,J17,NA())),NA())</f>
        <v>#N/A</v>
      </c>
      <c r="Y3">
        <f t="shared" si="2"/>
        <v>1</v>
      </c>
      <c r="Z3" t="e">
        <f t="shared" si="2"/>
        <v>#N/A</v>
      </c>
      <c r="AA3">
        <f t="shared" si="2"/>
        <v>1</v>
      </c>
      <c r="AB3">
        <f t="shared" si="2"/>
        <v>1</v>
      </c>
      <c r="AC3">
        <f t="shared" si="2"/>
        <v>1</v>
      </c>
      <c r="AD3">
        <f t="shared" si="2"/>
        <v>1</v>
      </c>
      <c r="AE3" t="e">
        <f t="shared" si="2"/>
        <v>#N/A</v>
      </c>
      <c r="AF3" t="e">
        <f t="shared" si="2"/>
        <v>#N/A</v>
      </c>
      <c r="AG3" t="e">
        <f t="shared" si="2"/>
        <v>#N/A</v>
      </c>
      <c r="AH3" t="e">
        <f t="shared" si="2"/>
        <v>#N/A</v>
      </c>
    </row>
    <row r="4" spans="1:34" ht="18.600000000000001" customHeight="1">
      <c r="A4" s="11" t="s">
        <v>93</v>
      </c>
      <c r="B4" s="11"/>
      <c r="V4" t="s">
        <v>91</v>
      </c>
      <c r="W4" t="e">
        <f>IF(I17&lt;&gt;"",IF($F16="Higher the better",IF(I17&lt;I16,I17,NA()),IF(I17&gt;I16,I17,NA())),NA())</f>
        <v>#N/A</v>
      </c>
      <c r="X4">
        <f t="shared" ref="X4:AH4" si="3">IF(J17&lt;&gt;"",IF($F16="Higher the better",IF(J17&lt;J16,J17,NA()),IF(J17&gt;J16,J17,NA())),NA())</f>
        <v>0.5</v>
      </c>
      <c r="Y4" t="e">
        <f t="shared" si="3"/>
        <v>#N/A</v>
      </c>
      <c r="Z4">
        <f t="shared" si="3"/>
        <v>0</v>
      </c>
      <c r="AA4" t="e">
        <f t="shared" si="3"/>
        <v>#N/A</v>
      </c>
      <c r="AB4" t="e">
        <f t="shared" si="3"/>
        <v>#N/A</v>
      </c>
      <c r="AC4" t="e">
        <f t="shared" si="3"/>
        <v>#N/A</v>
      </c>
      <c r="AD4" t="e">
        <f t="shared" si="3"/>
        <v>#N/A</v>
      </c>
      <c r="AE4" t="e">
        <f t="shared" si="3"/>
        <v>#N/A</v>
      </c>
      <c r="AF4" t="e">
        <f t="shared" si="3"/>
        <v>#N/A</v>
      </c>
      <c r="AG4" t="e">
        <f t="shared" si="3"/>
        <v>#N/A</v>
      </c>
      <c r="AH4" t="e">
        <f t="shared" si="3"/>
        <v>#N/A</v>
      </c>
    </row>
    <row r="5" spans="1:34"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V5" s="13" t="s">
        <v>90</v>
      </c>
      <c r="W5">
        <f>IF(I19&lt;&gt;0,IF($F18="Higher the better",IF(I19&gt;=I18,I19,NA()),IF(I19&lt;=I18,I19,NA())),NA())</f>
        <v>1</v>
      </c>
      <c r="X5">
        <f t="shared" ref="X5:AH5" si="4">IF(J19&lt;&gt;0,IF($F18="Higher the better",IF(J19&gt;=J18,J19,NA()),IF(J19&lt;=J18,J19,NA())),NA())</f>
        <v>1</v>
      </c>
      <c r="Y5">
        <f t="shared" si="4"/>
        <v>1</v>
      </c>
      <c r="Z5" t="e">
        <f t="shared" si="4"/>
        <v>#N/A</v>
      </c>
      <c r="AA5">
        <f t="shared" si="4"/>
        <v>1</v>
      </c>
      <c r="AB5">
        <f t="shared" si="4"/>
        <v>1</v>
      </c>
      <c r="AC5">
        <f t="shared" si="4"/>
        <v>1</v>
      </c>
      <c r="AD5">
        <f t="shared" si="4"/>
        <v>1</v>
      </c>
      <c r="AE5" t="e">
        <f t="shared" si="4"/>
        <v>#N/A</v>
      </c>
      <c r="AF5" t="e">
        <f t="shared" si="4"/>
        <v>#N/A</v>
      </c>
      <c r="AG5" t="e">
        <f t="shared" si="4"/>
        <v>#N/A</v>
      </c>
      <c r="AH5" t="e">
        <f t="shared" si="4"/>
        <v>#N/A</v>
      </c>
    </row>
    <row r="6" spans="1:34" ht="26.85" customHeight="1">
      <c r="A6" s="354" t="s">
        <v>203</v>
      </c>
      <c r="B6" s="343" t="s">
        <v>204</v>
      </c>
      <c r="C6" s="328" t="s">
        <v>97</v>
      </c>
      <c r="D6" s="363">
        <v>0.97</v>
      </c>
      <c r="E6" s="328" t="s">
        <v>98</v>
      </c>
      <c r="F6" s="336" t="s">
        <v>99</v>
      </c>
      <c r="G6" s="328" t="s">
        <v>55</v>
      </c>
      <c r="H6" s="14" t="s">
        <v>29</v>
      </c>
      <c r="I6" s="4">
        <v>0.97</v>
      </c>
      <c r="J6" s="4">
        <v>0.97</v>
      </c>
      <c r="K6" s="4">
        <v>0.97</v>
      </c>
      <c r="L6" s="4">
        <v>0.97</v>
      </c>
      <c r="M6" s="4">
        <v>0.97</v>
      </c>
      <c r="N6" s="4">
        <v>0.97</v>
      </c>
      <c r="O6" s="4">
        <v>0.97</v>
      </c>
      <c r="P6" s="4">
        <v>0.97</v>
      </c>
      <c r="Q6" s="4">
        <v>0.97</v>
      </c>
      <c r="R6" s="4">
        <v>0.97</v>
      </c>
      <c r="S6" s="4">
        <v>0.97</v>
      </c>
      <c r="T6" s="4">
        <v>0.97</v>
      </c>
      <c r="V6" s="13" t="s">
        <v>91</v>
      </c>
      <c r="W6" t="e">
        <f>IF(I19&lt;&gt;0,IF($F18="Higher the better",IF(I19&lt;I18,I19,NA()),IF(I19&gt;I18,I19,NA())),NA())</f>
        <v>#N/A</v>
      </c>
      <c r="X6" t="e">
        <f t="shared" ref="X6:AH6" si="5">IF(J19&lt;&gt;0,IF($F18="Higher the better",IF(J19&lt;J18,J19,NA()),IF(J19&gt;J18,J19,NA())),NA())</f>
        <v>#N/A</v>
      </c>
      <c r="Y6" t="e">
        <f t="shared" si="5"/>
        <v>#N/A</v>
      </c>
      <c r="Z6">
        <f t="shared" si="5"/>
        <v>0.93939393939393945</v>
      </c>
      <c r="AA6" t="e">
        <f t="shared" si="5"/>
        <v>#N/A</v>
      </c>
      <c r="AB6" t="e">
        <f t="shared" si="5"/>
        <v>#N/A</v>
      </c>
      <c r="AC6" t="e">
        <f t="shared" si="5"/>
        <v>#N/A</v>
      </c>
      <c r="AD6" t="e">
        <f t="shared" si="5"/>
        <v>#N/A</v>
      </c>
      <c r="AE6" t="e">
        <f t="shared" si="5"/>
        <v>#N/A</v>
      </c>
      <c r="AF6" t="e">
        <f t="shared" si="5"/>
        <v>#N/A</v>
      </c>
      <c r="AG6" t="e">
        <f t="shared" si="5"/>
        <v>#N/A</v>
      </c>
      <c r="AH6" t="e">
        <f t="shared" si="5"/>
        <v>#N/A</v>
      </c>
    </row>
    <row r="7" spans="1:34">
      <c r="A7" s="467"/>
      <c r="B7" s="382"/>
      <c r="C7" s="329"/>
      <c r="D7" s="329"/>
      <c r="E7" s="329"/>
      <c r="F7" s="333"/>
      <c r="G7" s="329"/>
      <c r="H7" s="14" t="s">
        <v>30</v>
      </c>
      <c r="I7" s="5">
        <f>13/13</f>
        <v>1</v>
      </c>
      <c r="J7" s="5">
        <f>5/5</f>
        <v>1</v>
      </c>
      <c r="K7" s="5">
        <f>8/8</f>
        <v>1</v>
      </c>
      <c r="L7" s="5">
        <f>6/9</f>
        <v>0.66666666666666663</v>
      </c>
      <c r="M7" s="5">
        <f>3/3</f>
        <v>1</v>
      </c>
      <c r="N7" s="5">
        <f>6/6</f>
        <v>1</v>
      </c>
      <c r="O7" s="5">
        <f>5/5</f>
        <v>1</v>
      </c>
      <c r="P7" s="5">
        <f>6/6</f>
        <v>1</v>
      </c>
      <c r="Q7" s="5"/>
      <c r="R7" s="5"/>
      <c r="S7" s="5"/>
      <c r="T7" s="5"/>
      <c r="V7" t="s">
        <v>90</v>
      </c>
      <c r="W7">
        <f>IF(I21&lt;&gt;"",IF($F20="Higher the better",IF(I21&gt;=I20,I21,NA()),IF(I21&lt;=I20,I21,NA())),NA())</f>
        <v>1</v>
      </c>
      <c r="X7">
        <f t="shared" ref="X7:AH7" si="6">IF(J21&lt;&gt;"",IF($F20="Higher the better",IF(J21&gt;=J20,J21,NA()),IF(J21&lt;=J20,J21,NA())),NA())</f>
        <v>1</v>
      </c>
      <c r="Y7">
        <f t="shared" si="6"/>
        <v>0.97058823529411764</v>
      </c>
      <c r="Z7">
        <f t="shared" si="6"/>
        <v>1</v>
      </c>
      <c r="AA7">
        <f t="shared" si="6"/>
        <v>1</v>
      </c>
      <c r="AB7">
        <f t="shared" si="6"/>
        <v>1</v>
      </c>
      <c r="AC7">
        <f t="shared" si="6"/>
        <v>1</v>
      </c>
      <c r="AD7">
        <f t="shared" si="6"/>
        <v>1</v>
      </c>
      <c r="AE7" t="e">
        <f t="shared" si="6"/>
        <v>#N/A</v>
      </c>
      <c r="AF7" t="e">
        <f t="shared" si="6"/>
        <v>#N/A</v>
      </c>
      <c r="AG7" t="e">
        <f t="shared" si="6"/>
        <v>#N/A</v>
      </c>
      <c r="AH7" t="e">
        <f t="shared" si="6"/>
        <v>#N/A</v>
      </c>
    </row>
    <row r="8" spans="1:34" ht="26.85" customHeight="1">
      <c r="A8" s="354" t="s">
        <v>205</v>
      </c>
      <c r="B8" s="354" t="s">
        <v>206</v>
      </c>
      <c r="C8" s="328" t="s">
        <v>97</v>
      </c>
      <c r="D8" s="437">
        <v>1</v>
      </c>
      <c r="E8" s="328" t="s">
        <v>98</v>
      </c>
      <c r="F8" s="336" t="s">
        <v>99</v>
      </c>
      <c r="G8" s="328" t="s">
        <v>55</v>
      </c>
      <c r="H8" s="14" t="s">
        <v>29</v>
      </c>
      <c r="I8" s="4"/>
      <c r="J8" s="4"/>
      <c r="K8" s="4"/>
      <c r="L8" s="4"/>
      <c r="M8" s="4"/>
      <c r="N8" s="4"/>
      <c r="O8" s="4"/>
      <c r="P8" s="4"/>
      <c r="Q8" s="4"/>
      <c r="R8" s="4"/>
      <c r="S8" s="4"/>
      <c r="T8" s="4"/>
      <c r="V8" t="s">
        <v>91</v>
      </c>
      <c r="W8" t="e">
        <f>IF(I21&lt;&gt;0,IF($F20="Higher the better",IF(I21&lt;I20,I21,NA()),IF(I21&gt;I20,I21,NA())),NA())</f>
        <v>#N/A</v>
      </c>
      <c r="X8" t="e">
        <f t="shared" ref="X8:AH8" si="7">IF(J21&lt;&gt;0,IF($F20="Higher the better",IF(J21&lt;J20,J21,NA()),IF(J21&gt;J20,J21,NA())),NA())</f>
        <v>#N/A</v>
      </c>
      <c r="Y8" t="e">
        <f t="shared" si="7"/>
        <v>#N/A</v>
      </c>
      <c r="Z8" t="e">
        <f t="shared" si="7"/>
        <v>#N/A</v>
      </c>
      <c r="AA8" t="e">
        <f t="shared" si="7"/>
        <v>#N/A</v>
      </c>
      <c r="AB8" t="e">
        <f t="shared" si="7"/>
        <v>#N/A</v>
      </c>
      <c r="AC8" t="e">
        <f t="shared" si="7"/>
        <v>#N/A</v>
      </c>
      <c r="AD8" t="e">
        <f t="shared" si="7"/>
        <v>#N/A</v>
      </c>
      <c r="AE8" t="e">
        <f t="shared" si="7"/>
        <v>#N/A</v>
      </c>
      <c r="AF8" t="e">
        <f t="shared" si="7"/>
        <v>#N/A</v>
      </c>
      <c r="AG8" t="e">
        <f t="shared" si="7"/>
        <v>#N/A</v>
      </c>
      <c r="AH8" t="e">
        <f t="shared" si="7"/>
        <v>#N/A</v>
      </c>
    </row>
    <row r="9" spans="1:34">
      <c r="A9" s="467"/>
      <c r="B9" s="382"/>
      <c r="C9" s="329"/>
      <c r="D9" s="329"/>
      <c r="E9" s="329"/>
      <c r="F9" s="333"/>
      <c r="G9" s="329"/>
      <c r="H9" s="14" t="s">
        <v>30</v>
      </c>
      <c r="I9" s="92"/>
      <c r="J9" s="92"/>
      <c r="K9" s="92"/>
      <c r="L9" s="92"/>
      <c r="M9" s="92"/>
      <c r="N9" s="92"/>
      <c r="O9" s="92"/>
      <c r="P9" s="92"/>
      <c r="Q9" s="92"/>
      <c r="R9" s="92"/>
      <c r="S9" s="92"/>
      <c r="T9" s="92"/>
    </row>
    <row r="10" spans="1:34" ht="27" customHeight="1">
      <c r="A10" s="348" t="s">
        <v>207</v>
      </c>
      <c r="B10" s="354" t="s">
        <v>208</v>
      </c>
      <c r="C10" s="328" t="s">
        <v>97</v>
      </c>
      <c r="D10" s="437">
        <v>1</v>
      </c>
      <c r="E10" s="328" t="s">
        <v>98</v>
      </c>
      <c r="F10" s="336" t="s">
        <v>99</v>
      </c>
      <c r="G10" s="328" t="s">
        <v>55</v>
      </c>
      <c r="H10" s="14" t="s">
        <v>29</v>
      </c>
      <c r="I10" s="4">
        <v>1</v>
      </c>
      <c r="J10" s="4">
        <v>1</v>
      </c>
      <c r="K10" s="4">
        <v>1</v>
      </c>
      <c r="L10" s="4">
        <v>1</v>
      </c>
      <c r="M10" s="4">
        <v>1</v>
      </c>
      <c r="N10" s="4">
        <v>1</v>
      </c>
      <c r="O10" s="4">
        <v>1</v>
      </c>
      <c r="P10" s="4">
        <v>1</v>
      </c>
      <c r="Q10" s="4">
        <v>1</v>
      </c>
      <c r="R10" s="4">
        <v>1</v>
      </c>
      <c r="S10" s="4">
        <v>1</v>
      </c>
      <c r="T10" s="4">
        <v>1</v>
      </c>
    </row>
    <row r="11" spans="1:34">
      <c r="A11" s="349"/>
      <c r="B11" s="382"/>
      <c r="C11" s="329"/>
      <c r="D11" s="329"/>
      <c r="E11" s="329"/>
      <c r="F11" s="333"/>
      <c r="G11" s="329"/>
      <c r="H11" s="14" t="s">
        <v>30</v>
      </c>
      <c r="I11" s="5">
        <f>31/31</f>
        <v>1</v>
      </c>
      <c r="J11" s="5">
        <f>52/52</f>
        <v>1</v>
      </c>
      <c r="K11" s="5">
        <f>60/60</f>
        <v>1</v>
      </c>
      <c r="L11" s="5">
        <f>11/12</f>
        <v>0.91666666666666663</v>
      </c>
      <c r="M11" s="5">
        <f>7/7</f>
        <v>1</v>
      </c>
      <c r="N11" s="5">
        <f>13/13</f>
        <v>1</v>
      </c>
      <c r="O11" s="5">
        <f>8/8</f>
        <v>1</v>
      </c>
      <c r="P11" s="5">
        <f>9/9</f>
        <v>1</v>
      </c>
      <c r="Q11" s="5"/>
      <c r="R11" s="5"/>
      <c r="S11" s="5"/>
      <c r="T11" s="5"/>
    </row>
    <row r="12" spans="1:34" ht="18.600000000000001">
      <c r="A12" s="31" t="s">
        <v>112</v>
      </c>
      <c r="G12" s="38"/>
      <c r="I12" s="43"/>
      <c r="J12" s="43"/>
      <c r="K12" s="43"/>
      <c r="L12" s="43"/>
      <c r="M12" s="43"/>
      <c r="N12" s="43"/>
      <c r="O12" s="43"/>
      <c r="P12" s="43"/>
      <c r="Q12" s="43"/>
      <c r="R12" s="43"/>
      <c r="S12" s="43"/>
      <c r="T12" s="43"/>
    </row>
    <row r="13" spans="1:34"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4" ht="27" customHeight="1">
      <c r="A14" s="348" t="s">
        <v>209</v>
      </c>
      <c r="B14" s="354" t="s">
        <v>210</v>
      </c>
      <c r="C14" s="328" t="s">
        <v>102</v>
      </c>
      <c r="D14" s="464">
        <v>0.1</v>
      </c>
      <c r="E14" s="370" t="s">
        <v>98</v>
      </c>
      <c r="F14" s="336" t="s">
        <v>104</v>
      </c>
      <c r="G14" s="328" t="s">
        <v>55</v>
      </c>
      <c r="H14" s="14" t="s">
        <v>29</v>
      </c>
      <c r="I14" s="4">
        <v>0.1</v>
      </c>
      <c r="J14" s="4">
        <v>0.1</v>
      </c>
      <c r="K14" s="4">
        <v>0.1</v>
      </c>
      <c r="L14" s="4">
        <v>0.1</v>
      </c>
      <c r="M14" s="4">
        <v>0.1</v>
      </c>
      <c r="N14" s="4">
        <v>0.1</v>
      </c>
      <c r="O14" s="4">
        <v>0.1</v>
      </c>
      <c r="P14" s="4">
        <v>0.1</v>
      </c>
      <c r="Q14" s="4">
        <v>0.1</v>
      </c>
      <c r="R14" s="4">
        <v>0.1</v>
      </c>
      <c r="S14" s="4">
        <v>0.1</v>
      </c>
      <c r="T14" s="4">
        <v>0.1</v>
      </c>
    </row>
    <row r="15" spans="1:34" ht="20.25" customHeight="1">
      <c r="A15" s="349"/>
      <c r="B15" s="467"/>
      <c r="C15" s="329"/>
      <c r="D15" s="466"/>
      <c r="E15" s="371"/>
      <c r="F15" s="333"/>
      <c r="G15" s="329"/>
      <c r="H15" s="14" t="s">
        <v>30</v>
      </c>
      <c r="I15" s="5">
        <v>0</v>
      </c>
      <c r="J15" s="5">
        <f>1/90</f>
        <v>1.1111111111111112E-2</v>
      </c>
      <c r="K15" s="5">
        <v>0</v>
      </c>
      <c r="L15" s="5">
        <f>0/92</f>
        <v>0</v>
      </c>
      <c r="M15" s="5">
        <f>0/133</f>
        <v>0</v>
      </c>
      <c r="N15" s="5">
        <f>0/144</f>
        <v>0</v>
      </c>
      <c r="O15" s="5">
        <v>0</v>
      </c>
      <c r="P15" s="5">
        <v>0</v>
      </c>
      <c r="Q15" s="5"/>
      <c r="R15" s="5"/>
      <c r="S15" s="5"/>
      <c r="T15" s="5"/>
    </row>
    <row r="16" spans="1:34" ht="30" customHeight="1">
      <c r="A16" s="354" t="s">
        <v>211</v>
      </c>
      <c r="B16" s="354" t="s">
        <v>212</v>
      </c>
      <c r="C16" s="328" t="s">
        <v>97</v>
      </c>
      <c r="D16" s="363">
        <v>0.95</v>
      </c>
      <c r="E16" s="328" t="s">
        <v>98</v>
      </c>
      <c r="F16" s="336" t="s">
        <v>99</v>
      </c>
      <c r="G16" s="328" t="s">
        <v>55</v>
      </c>
      <c r="H16" s="14" t="s">
        <v>29</v>
      </c>
      <c r="I16" s="4">
        <v>0.95</v>
      </c>
      <c r="J16" s="4">
        <v>0.95</v>
      </c>
      <c r="K16" s="4">
        <v>0.95</v>
      </c>
      <c r="L16" s="4">
        <v>0.95</v>
      </c>
      <c r="M16" s="4">
        <v>0.95</v>
      </c>
      <c r="N16" s="4">
        <v>0.95</v>
      </c>
      <c r="O16" s="4">
        <v>0.95</v>
      </c>
      <c r="P16" s="4">
        <v>0.95</v>
      </c>
      <c r="Q16" s="4">
        <v>0.95</v>
      </c>
      <c r="R16" s="4">
        <v>0.95</v>
      </c>
      <c r="S16" s="4">
        <v>0.95</v>
      </c>
      <c r="T16" s="4">
        <v>0.95</v>
      </c>
    </row>
    <row r="17" spans="1:20" ht="28.5" customHeight="1">
      <c r="A17" s="382"/>
      <c r="B17" s="382"/>
      <c r="C17" s="329"/>
      <c r="D17" s="329"/>
      <c r="E17" s="329"/>
      <c r="F17" s="333"/>
      <c r="G17" s="329"/>
      <c r="H17" s="14" t="s">
        <v>30</v>
      </c>
      <c r="I17" s="5">
        <f>1/1</f>
        <v>1</v>
      </c>
      <c r="J17" s="5">
        <f>1/2</f>
        <v>0.5</v>
      </c>
      <c r="K17" s="5">
        <f>1/1</f>
        <v>1</v>
      </c>
      <c r="L17" s="5">
        <f>0/3</f>
        <v>0</v>
      </c>
      <c r="M17" s="5">
        <f>3/3</f>
        <v>1</v>
      </c>
      <c r="N17" s="5">
        <f>2/2</f>
        <v>1</v>
      </c>
      <c r="O17" s="5">
        <f>1/1</f>
        <v>1</v>
      </c>
      <c r="P17" s="5">
        <f>2/2</f>
        <v>1</v>
      </c>
      <c r="Q17" s="5"/>
      <c r="R17" s="5"/>
      <c r="S17" s="5"/>
      <c r="T17" s="5"/>
    </row>
    <row r="18" spans="1:20" ht="24" customHeight="1">
      <c r="A18" s="348" t="s">
        <v>213</v>
      </c>
      <c r="B18" s="354" t="s">
        <v>214</v>
      </c>
      <c r="C18" s="328" t="s">
        <v>120</v>
      </c>
      <c r="D18" s="363">
        <v>1</v>
      </c>
      <c r="E18" s="328" t="s">
        <v>98</v>
      </c>
      <c r="F18" s="336" t="s">
        <v>99</v>
      </c>
      <c r="G18" s="328" t="s">
        <v>55</v>
      </c>
      <c r="H18" s="14" t="s">
        <v>29</v>
      </c>
      <c r="I18" s="4">
        <v>1</v>
      </c>
      <c r="J18" s="4">
        <v>1</v>
      </c>
      <c r="K18" s="4">
        <v>1</v>
      </c>
      <c r="L18" s="4">
        <v>1</v>
      </c>
      <c r="M18" s="4">
        <v>1</v>
      </c>
      <c r="N18" s="4">
        <v>1</v>
      </c>
      <c r="O18" s="4">
        <v>1</v>
      </c>
      <c r="P18" s="4">
        <v>1</v>
      </c>
      <c r="Q18" s="4">
        <v>1</v>
      </c>
      <c r="R18" s="4">
        <v>1</v>
      </c>
      <c r="S18" s="4">
        <v>1</v>
      </c>
      <c r="T18" s="4">
        <v>1</v>
      </c>
    </row>
    <row r="19" spans="1:20" ht="22.5" customHeight="1">
      <c r="A19" s="349"/>
      <c r="B19" s="467"/>
      <c r="C19" s="329"/>
      <c r="D19" s="468"/>
      <c r="E19" s="329"/>
      <c r="F19" s="333"/>
      <c r="G19" s="329"/>
      <c r="H19" s="14" t="s">
        <v>30</v>
      </c>
      <c r="I19" s="5">
        <f>14/14</f>
        <v>1</v>
      </c>
      <c r="J19" s="5">
        <v>1</v>
      </c>
      <c r="K19" s="5">
        <v>1</v>
      </c>
      <c r="L19" s="5">
        <f>124/132</f>
        <v>0.93939393939393945</v>
      </c>
      <c r="M19" s="5">
        <f>25/25</f>
        <v>1</v>
      </c>
      <c r="N19" s="5">
        <f>213/213</f>
        <v>1</v>
      </c>
      <c r="O19" s="5">
        <f>63/63</f>
        <v>1</v>
      </c>
      <c r="P19" s="5">
        <f>68/68</f>
        <v>1</v>
      </c>
      <c r="Q19" s="5"/>
      <c r="R19" s="5"/>
      <c r="S19" s="5"/>
      <c r="T19" s="5"/>
    </row>
    <row r="20" spans="1:20" ht="26.25" customHeight="1">
      <c r="A20" s="348" t="s">
        <v>215</v>
      </c>
      <c r="B20" s="463" t="s">
        <v>216</v>
      </c>
      <c r="C20" s="370" t="s">
        <v>97</v>
      </c>
      <c r="D20" s="464">
        <v>0.95</v>
      </c>
      <c r="E20" s="370" t="s">
        <v>98</v>
      </c>
      <c r="F20" s="465" t="s">
        <v>99</v>
      </c>
      <c r="G20" s="328" t="s">
        <v>55</v>
      </c>
      <c r="H20" s="14" t="s">
        <v>29</v>
      </c>
      <c r="I20" s="4">
        <v>0.95</v>
      </c>
      <c r="J20" s="4">
        <v>0.95</v>
      </c>
      <c r="K20" s="4">
        <v>0.95</v>
      </c>
      <c r="L20" s="4">
        <v>0.95</v>
      </c>
      <c r="M20" s="4">
        <v>0.95</v>
      </c>
      <c r="N20" s="4">
        <v>0.95</v>
      </c>
      <c r="O20" s="4">
        <v>0.95</v>
      </c>
      <c r="P20" s="4">
        <v>0.95</v>
      </c>
      <c r="Q20" s="4">
        <v>0.95</v>
      </c>
      <c r="R20" s="4">
        <v>0.95</v>
      </c>
      <c r="S20" s="4">
        <v>0.95</v>
      </c>
      <c r="T20" s="4">
        <v>0.95</v>
      </c>
    </row>
    <row r="21" spans="1:20" ht="22.5" customHeight="1">
      <c r="A21" s="344"/>
      <c r="B21" s="342"/>
      <c r="C21" s="371"/>
      <c r="D21" s="371"/>
      <c r="E21" s="371"/>
      <c r="F21" s="466"/>
      <c r="G21" s="329"/>
      <c r="H21" s="14" t="s">
        <v>30</v>
      </c>
      <c r="I21" s="5">
        <f>31/31</f>
        <v>1</v>
      </c>
      <c r="J21" s="5">
        <v>1</v>
      </c>
      <c r="K21" s="5">
        <f>33/34</f>
        <v>0.97058823529411764</v>
      </c>
      <c r="L21" s="5">
        <v>1</v>
      </c>
      <c r="M21" s="5">
        <v>1</v>
      </c>
      <c r="N21" s="5">
        <v>1</v>
      </c>
      <c r="O21" s="5">
        <v>1</v>
      </c>
      <c r="P21" s="5">
        <v>1</v>
      </c>
      <c r="Q21" s="5"/>
      <c r="R21" s="5"/>
      <c r="S21" s="5"/>
      <c r="T21" s="5"/>
    </row>
    <row r="22" spans="1:20" ht="15" customHeight="1">
      <c r="E22" s="32" t="s">
        <v>86</v>
      </c>
      <c r="H22" s="33" t="str">
        <f>IF(OR($F19="Lower the better",$F19="Lower the Better"),
    IF(I15&gt;I14,$A18,""),
    IF(OR($F19="Higher the better",$F19="Higher the Better"),
       IF(I15&lt;I14,$A18,""),
       ""
    )
)</f>
        <v/>
      </c>
    </row>
    <row r="23" spans="1:20" ht="21">
      <c r="A23" s="10" t="s">
        <v>217</v>
      </c>
      <c r="B23"/>
    </row>
    <row r="24" spans="1:20">
      <c r="A24" s="28"/>
      <c r="B24"/>
    </row>
    <row r="25" spans="1:20">
      <c r="A25" s="28"/>
      <c r="B25"/>
    </row>
    <row r="26" spans="1:20">
      <c r="A26" s="28"/>
      <c r="B26"/>
    </row>
    <row r="27" spans="1:20">
      <c r="A27" s="28"/>
      <c r="B27"/>
    </row>
    <row r="28" spans="1:20">
      <c r="A28" s="28"/>
      <c r="B28"/>
    </row>
    <row r="29" spans="1:20">
      <c r="A29" s="28"/>
      <c r="B29"/>
    </row>
    <row r="30" spans="1:20">
      <c r="A30" s="28"/>
      <c r="B30"/>
    </row>
    <row r="31" spans="1:20">
      <c r="A31" s="28"/>
      <c r="B31"/>
    </row>
    <row r="32" spans="1:20">
      <c r="A32" s="28"/>
      <c r="B32"/>
    </row>
    <row r="33" spans="1:6">
      <c r="A33" s="28"/>
      <c r="B33"/>
    </row>
    <row r="34" spans="1:6">
      <c r="A34" s="28"/>
      <c r="B34"/>
    </row>
    <row r="35" spans="1:6">
      <c r="A35" s="28"/>
      <c r="B35"/>
    </row>
    <row r="36" spans="1:6">
      <c r="A36" s="28"/>
      <c r="B36"/>
    </row>
    <row r="37" spans="1:6">
      <c r="A37" s="28"/>
      <c r="B37"/>
    </row>
    <row r="38" spans="1:6">
      <c r="A38" s="28"/>
      <c r="B38"/>
    </row>
    <row r="39" spans="1:6">
      <c r="A39" s="28"/>
      <c r="B39"/>
    </row>
    <row r="40" spans="1:6" ht="21">
      <c r="A40" s="356" t="s">
        <v>123</v>
      </c>
      <c r="B40" s="356"/>
      <c r="C40" s="356"/>
      <c r="D40" s="356"/>
      <c r="E40" s="356"/>
    </row>
    <row r="41" spans="1:6">
      <c r="A41" s="28"/>
      <c r="B41"/>
    </row>
    <row r="42" spans="1:6" ht="21">
      <c r="A42" s="347" t="s">
        <v>124</v>
      </c>
      <c r="B42" s="347"/>
    </row>
    <row r="43" spans="1:6" ht="20.100000000000001" customHeight="1">
      <c r="A43" s="357" t="s">
        <v>125</v>
      </c>
      <c r="B43" s="359" t="s">
        <v>218</v>
      </c>
      <c r="C43" s="359"/>
      <c r="D43" s="359"/>
      <c r="E43" s="359"/>
      <c r="F43" s="359"/>
    </row>
    <row r="44" spans="1:6" ht="15" customHeight="1">
      <c r="A44" s="358"/>
      <c r="B44" s="25" t="s">
        <v>127</v>
      </c>
      <c r="C44" s="25" t="s">
        <v>128</v>
      </c>
      <c r="D44" s="25" t="s">
        <v>129</v>
      </c>
      <c r="E44" s="25" t="s">
        <v>130</v>
      </c>
      <c r="F44" s="25" t="s">
        <v>131</v>
      </c>
    </row>
    <row r="45" spans="1:6" ht="26.45">
      <c r="A45" s="40" t="s">
        <v>219</v>
      </c>
      <c r="B45" s="127" t="s">
        <v>220</v>
      </c>
      <c r="C45" s="41"/>
      <c r="D45" s="41"/>
      <c r="E45" s="41"/>
      <c r="F45" s="41"/>
    </row>
    <row r="46" spans="1:6" ht="19.350000000000001" customHeight="1">
      <c r="A46" s="27" t="s">
        <v>135</v>
      </c>
      <c r="B46" s="42">
        <v>1</v>
      </c>
      <c r="C46" s="42"/>
      <c r="D46" s="42"/>
      <c r="E46" s="42"/>
      <c r="F46" s="42"/>
    </row>
    <row r="47" spans="1:6" ht="19.350000000000001" customHeight="1">
      <c r="A47" s="25" t="s">
        <v>136</v>
      </c>
      <c r="B47" s="25" t="s">
        <v>127</v>
      </c>
      <c r="C47" s="25" t="s">
        <v>128</v>
      </c>
      <c r="D47" s="25" t="s">
        <v>129</v>
      </c>
      <c r="E47" s="25" t="s">
        <v>130</v>
      </c>
      <c r="F47" s="25" t="s">
        <v>131</v>
      </c>
    </row>
    <row r="48" spans="1:6" ht="45.75" customHeight="1">
      <c r="A48" s="40" t="s">
        <v>221</v>
      </c>
      <c r="B48" s="127" t="s">
        <v>222</v>
      </c>
      <c r="C48" s="41"/>
      <c r="D48" s="41"/>
      <c r="E48" s="41"/>
      <c r="F48" s="41"/>
    </row>
    <row r="49" spans="1:6" ht="19.350000000000001" customHeight="1">
      <c r="A49" s="27" t="s">
        <v>135</v>
      </c>
      <c r="B49" s="42">
        <v>1</v>
      </c>
      <c r="C49" s="42"/>
      <c r="D49" s="42"/>
      <c r="E49" s="42"/>
      <c r="F49" s="42"/>
    </row>
    <row r="50" spans="1:6" ht="19.350000000000001" customHeight="1">
      <c r="A50" s="25" t="s">
        <v>136</v>
      </c>
      <c r="B50" s="25" t="s">
        <v>127</v>
      </c>
      <c r="C50" s="25" t="s">
        <v>128</v>
      </c>
      <c r="D50" s="25" t="s">
        <v>129</v>
      </c>
      <c r="E50" s="25" t="s">
        <v>130</v>
      </c>
      <c r="F50" s="25" t="s">
        <v>131</v>
      </c>
    </row>
    <row r="51" spans="1:6" ht="103.5" customHeight="1">
      <c r="A51" s="40" t="s">
        <v>223</v>
      </c>
      <c r="B51" s="32" t="s">
        <v>224</v>
      </c>
      <c r="C51" s="127" t="s">
        <v>225</v>
      </c>
      <c r="D51" s="41"/>
      <c r="E51" s="41"/>
      <c r="F51" s="41"/>
    </row>
    <row r="52" spans="1:6" ht="19.350000000000001" customHeight="1">
      <c r="A52" s="27" t="s">
        <v>135</v>
      </c>
      <c r="B52" s="42">
        <v>0.5</v>
      </c>
      <c r="C52" s="42">
        <v>0.5</v>
      </c>
      <c r="D52" s="42"/>
      <c r="E52" s="42"/>
      <c r="F52" s="42"/>
    </row>
    <row r="53" spans="1:6" ht="19.350000000000001" customHeight="1">
      <c r="A53" s="25" t="s">
        <v>136</v>
      </c>
      <c r="B53" s="25" t="s">
        <v>127</v>
      </c>
      <c r="C53" s="25" t="s">
        <v>128</v>
      </c>
      <c r="D53" s="25" t="s">
        <v>129</v>
      </c>
      <c r="E53" s="25" t="s">
        <v>130</v>
      </c>
      <c r="F53" s="25" t="s">
        <v>131</v>
      </c>
    </row>
    <row r="54" spans="1:6" ht="57" customHeight="1">
      <c r="A54" s="40" t="s">
        <v>226</v>
      </c>
      <c r="B54" s="127" t="s">
        <v>227</v>
      </c>
      <c r="C54" s="41"/>
      <c r="D54" s="41"/>
      <c r="E54" s="41"/>
      <c r="F54" s="41"/>
    </row>
    <row r="55" spans="1:6" ht="19.350000000000001" customHeight="1">
      <c r="A55" s="27" t="s">
        <v>135</v>
      </c>
      <c r="B55" s="42">
        <v>1</v>
      </c>
      <c r="C55" s="42"/>
      <c r="D55" s="42"/>
      <c r="E55" s="42"/>
      <c r="F55" s="42"/>
    </row>
    <row r="56" spans="1:6" ht="19.350000000000001" customHeight="1">
      <c r="A56" s="25" t="s">
        <v>136</v>
      </c>
      <c r="B56" s="25" t="s">
        <v>127</v>
      </c>
      <c r="C56" s="25" t="s">
        <v>128</v>
      </c>
      <c r="D56" s="25" t="s">
        <v>129</v>
      </c>
      <c r="E56" s="25" t="s">
        <v>130</v>
      </c>
      <c r="F56" s="25" t="s">
        <v>131</v>
      </c>
    </row>
    <row r="57" spans="1:6" ht="19.350000000000001" customHeight="1">
      <c r="A57" s="27"/>
      <c r="B57" s="41"/>
      <c r="C57" s="41"/>
      <c r="D57" s="41"/>
      <c r="E57" s="41"/>
      <c r="F57" s="41"/>
    </row>
    <row r="58" spans="1:6" ht="19.350000000000001" customHeight="1">
      <c r="A58" s="27" t="s">
        <v>135</v>
      </c>
      <c r="B58" s="42"/>
      <c r="C58" s="42"/>
      <c r="D58" s="42"/>
      <c r="E58" s="42"/>
      <c r="F58" s="42"/>
    </row>
    <row r="59" spans="1:6" ht="19.350000000000001" customHeight="1">
      <c r="A59" s="25" t="s">
        <v>136</v>
      </c>
      <c r="B59" s="25" t="s">
        <v>127</v>
      </c>
      <c r="C59" s="25" t="s">
        <v>128</v>
      </c>
      <c r="D59" s="25" t="s">
        <v>129</v>
      </c>
      <c r="E59" s="25" t="s">
        <v>130</v>
      </c>
      <c r="F59" s="25" t="s">
        <v>131</v>
      </c>
    </row>
    <row r="60" spans="1:6" ht="19.350000000000001" customHeight="1">
      <c r="A60" s="27"/>
      <c r="B60" s="41"/>
      <c r="C60" s="41"/>
      <c r="D60" s="41"/>
      <c r="E60" s="41"/>
      <c r="F60" s="41"/>
    </row>
    <row r="61" spans="1:6" ht="19.350000000000001" customHeight="1">
      <c r="A61" s="27" t="s">
        <v>135</v>
      </c>
      <c r="B61" s="42"/>
      <c r="C61" s="42"/>
      <c r="D61" s="42"/>
      <c r="E61" s="42"/>
      <c r="F61" s="42"/>
    </row>
    <row r="62" spans="1:6" ht="21">
      <c r="A62" s="10" t="s">
        <v>144</v>
      </c>
      <c r="B62"/>
    </row>
    <row r="63" spans="1:6">
      <c r="A63" s="28"/>
      <c r="B63"/>
    </row>
    <row r="64" spans="1:6">
      <c r="A64" s="28"/>
      <c r="B64"/>
    </row>
    <row r="65" spans="1:34">
      <c r="A65" s="28"/>
      <c r="B65"/>
    </row>
    <row r="66" spans="1:34">
      <c r="A66" s="28"/>
      <c r="B66"/>
    </row>
    <row r="67" spans="1:34">
      <c r="A67" s="28"/>
      <c r="B67"/>
    </row>
    <row r="68" spans="1:34">
      <c r="A68" s="28"/>
      <c r="B68"/>
    </row>
    <row r="69" spans="1:34">
      <c r="A69" s="28"/>
      <c r="B69"/>
    </row>
    <row r="70" spans="1:34">
      <c r="A70" s="28"/>
      <c r="B70"/>
    </row>
    <row r="71" spans="1:34">
      <c r="A71" s="28"/>
      <c r="B71"/>
    </row>
    <row r="72" spans="1:34">
      <c r="A72" s="28"/>
      <c r="B72"/>
    </row>
    <row r="73" spans="1:34">
      <c r="A73" s="28"/>
      <c r="B73"/>
    </row>
    <row r="74" spans="1:34">
      <c r="A74" s="28"/>
      <c r="B74"/>
    </row>
    <row r="75" spans="1:34">
      <c r="A75" s="28"/>
      <c r="B75"/>
    </row>
    <row r="76" spans="1:34">
      <c r="A76" s="28"/>
      <c r="B76"/>
    </row>
    <row r="77" spans="1:34" ht="15" thickBot="1">
      <c r="A77" s="28"/>
      <c r="B77"/>
      <c r="V77" s="15"/>
      <c r="W77" s="15"/>
      <c r="X77" s="15"/>
      <c r="Y77" s="15"/>
      <c r="Z77" s="15"/>
      <c r="AA77" s="15"/>
      <c r="AB77" s="15"/>
      <c r="AC77" s="15"/>
      <c r="AD77" s="15"/>
      <c r="AE77" s="15"/>
      <c r="AF77" s="15"/>
      <c r="AG77" s="15"/>
      <c r="AH77" s="15"/>
    </row>
    <row r="78" spans="1:34" ht="18.95" thickBot="1">
      <c r="A78" s="360" t="s">
        <v>145</v>
      </c>
      <c r="B78" s="361"/>
      <c r="C78" s="361"/>
      <c r="D78" s="361"/>
      <c r="E78" s="361"/>
      <c r="F78" s="362"/>
      <c r="H78" s="364" t="s">
        <v>146</v>
      </c>
      <c r="I78" s="365"/>
      <c r="J78" s="365"/>
      <c r="K78" s="365"/>
      <c r="L78" s="365"/>
      <c r="M78" s="365"/>
      <c r="N78" s="365"/>
      <c r="O78" s="366"/>
    </row>
    <row r="79" spans="1:34" s="15" customFormat="1" ht="41.85" customHeight="1">
      <c r="A79" s="16" t="s">
        <v>136</v>
      </c>
      <c r="B79" s="17" t="s">
        <v>147</v>
      </c>
      <c r="C79" s="18" t="s">
        <v>148</v>
      </c>
      <c r="D79" s="19" t="s">
        <v>149</v>
      </c>
      <c r="E79" s="17" t="s">
        <v>150</v>
      </c>
      <c r="F79" s="20" t="s">
        <v>151</v>
      </c>
      <c r="G79"/>
      <c r="H79" s="21" t="s">
        <v>58</v>
      </c>
      <c r="I79" s="22" t="s">
        <v>152</v>
      </c>
      <c r="J79" s="22" t="s">
        <v>153</v>
      </c>
      <c r="K79" s="23" t="s">
        <v>154</v>
      </c>
      <c r="L79" s="23" t="s">
        <v>155</v>
      </c>
      <c r="M79" s="24" t="s">
        <v>156</v>
      </c>
      <c r="N79" s="23" t="s">
        <v>157</v>
      </c>
      <c r="O79" s="36" t="s">
        <v>158</v>
      </c>
      <c r="V79"/>
      <c r="W79"/>
      <c r="X79"/>
      <c r="Y79"/>
      <c r="Z79"/>
      <c r="AA79"/>
      <c r="AB79"/>
      <c r="AC79"/>
      <c r="AD79"/>
      <c r="AE79"/>
      <c r="AF79"/>
      <c r="AG79"/>
      <c r="AH79"/>
    </row>
    <row r="80" spans="1:34" ht="45" customHeight="1">
      <c r="A80" s="330" t="s">
        <v>219</v>
      </c>
      <c r="B80" s="336" t="s">
        <v>228</v>
      </c>
      <c r="C80" s="336" t="s">
        <v>229</v>
      </c>
      <c r="D80" s="336" t="s">
        <v>230</v>
      </c>
      <c r="E80" s="337">
        <v>46079</v>
      </c>
      <c r="F80" s="339">
        <v>5</v>
      </c>
      <c r="H80" s="330"/>
      <c r="I80" s="367"/>
      <c r="J80" s="367"/>
      <c r="K80" s="367"/>
      <c r="L80" s="367"/>
      <c r="M80" s="370"/>
      <c r="N80" s="367"/>
      <c r="O80" s="345"/>
    </row>
    <row r="81" spans="1:15" ht="45" customHeight="1">
      <c r="A81" s="331"/>
      <c r="B81" s="333"/>
      <c r="C81" s="333"/>
      <c r="D81" s="333"/>
      <c r="E81" s="338"/>
      <c r="F81" s="340"/>
      <c r="H81" s="331"/>
      <c r="I81" s="368"/>
      <c r="J81" s="368"/>
      <c r="K81" s="368"/>
      <c r="L81" s="368"/>
      <c r="M81" s="371"/>
      <c r="N81" s="368"/>
      <c r="O81" s="346"/>
    </row>
    <row r="82" spans="1:15" ht="23.25" customHeight="1">
      <c r="A82" s="330" t="s">
        <v>221</v>
      </c>
      <c r="B82" s="336" t="s">
        <v>231</v>
      </c>
      <c r="C82" s="336" t="s">
        <v>232</v>
      </c>
      <c r="D82" s="336" t="s">
        <v>233</v>
      </c>
      <c r="E82" s="337">
        <v>46171</v>
      </c>
      <c r="F82" s="339">
        <v>5</v>
      </c>
      <c r="H82" s="330"/>
      <c r="I82" s="367"/>
      <c r="J82" s="367"/>
      <c r="K82" s="367"/>
      <c r="L82" s="367"/>
      <c r="M82" s="370"/>
      <c r="N82" s="367"/>
      <c r="O82" s="345"/>
    </row>
    <row r="83" spans="1:15" ht="28.5" customHeight="1">
      <c r="A83" s="331"/>
      <c r="B83" s="333"/>
      <c r="C83" s="333"/>
      <c r="D83" s="333"/>
      <c r="E83" s="338"/>
      <c r="F83" s="340"/>
      <c r="H83" s="331"/>
      <c r="I83" s="368"/>
      <c r="J83" s="368"/>
      <c r="K83" s="368"/>
      <c r="L83" s="368"/>
      <c r="M83" s="371"/>
      <c r="N83" s="368"/>
      <c r="O83" s="346"/>
    </row>
    <row r="84" spans="1:15" ht="74.25" customHeight="1">
      <c r="A84" s="330" t="s">
        <v>234</v>
      </c>
      <c r="B84" s="336" t="s">
        <v>224</v>
      </c>
      <c r="C84" s="336" t="s">
        <v>235</v>
      </c>
      <c r="D84" s="336" t="s">
        <v>236</v>
      </c>
      <c r="E84" s="337">
        <v>46162</v>
      </c>
      <c r="F84" s="339">
        <v>5</v>
      </c>
      <c r="H84" s="330"/>
      <c r="I84" s="367"/>
      <c r="J84" s="367"/>
      <c r="K84" s="367"/>
      <c r="L84" s="367"/>
      <c r="M84" s="370"/>
      <c r="N84" s="367"/>
      <c r="O84" s="345"/>
    </row>
    <row r="85" spans="1:15" ht="75" customHeight="1">
      <c r="A85" s="331"/>
      <c r="B85" s="333"/>
      <c r="C85" s="333"/>
      <c r="D85" s="333"/>
      <c r="E85" s="338"/>
      <c r="F85" s="340"/>
      <c r="H85" s="331"/>
      <c r="I85" s="368"/>
      <c r="J85" s="368"/>
      <c r="K85" s="368"/>
      <c r="L85" s="368"/>
      <c r="M85" s="371"/>
      <c r="N85" s="368"/>
      <c r="O85" s="346"/>
    </row>
    <row r="86" spans="1:15" ht="68.25" customHeight="1">
      <c r="A86" s="330" t="s">
        <v>234</v>
      </c>
      <c r="B86" s="336" t="s">
        <v>225</v>
      </c>
      <c r="C86" s="336" t="s">
        <v>237</v>
      </c>
      <c r="D86" s="336" t="s">
        <v>236</v>
      </c>
      <c r="E86" s="337">
        <v>46162</v>
      </c>
      <c r="F86" s="339">
        <v>5</v>
      </c>
      <c r="H86" s="330"/>
      <c r="I86" s="367"/>
      <c r="J86" s="367"/>
      <c r="K86" s="367"/>
      <c r="L86" s="367"/>
      <c r="M86" s="370"/>
      <c r="N86" s="367"/>
      <c r="O86" s="345"/>
    </row>
    <row r="87" spans="1:15" ht="54" customHeight="1">
      <c r="A87" s="331"/>
      <c r="B87" s="333"/>
      <c r="C87" s="333"/>
      <c r="D87" s="333"/>
      <c r="E87" s="338"/>
      <c r="F87" s="340"/>
      <c r="H87" s="331"/>
      <c r="I87" s="368"/>
      <c r="J87" s="368"/>
      <c r="K87" s="368"/>
      <c r="L87" s="368"/>
      <c r="M87" s="371"/>
      <c r="N87" s="368"/>
      <c r="O87" s="346"/>
    </row>
    <row r="88" spans="1:15" ht="82.5" customHeight="1">
      <c r="A88" s="330" t="s">
        <v>226</v>
      </c>
      <c r="B88" s="336" t="s">
        <v>238</v>
      </c>
      <c r="C88" s="336" t="s">
        <v>239</v>
      </c>
      <c r="D88" s="336" t="s">
        <v>240</v>
      </c>
      <c r="E88" s="337">
        <v>46157</v>
      </c>
      <c r="F88" s="339">
        <v>5</v>
      </c>
      <c r="H88" s="330"/>
      <c r="I88" s="367"/>
      <c r="J88" s="367"/>
      <c r="K88" s="367"/>
      <c r="L88" s="367"/>
      <c r="M88" s="370"/>
      <c r="N88" s="367"/>
      <c r="O88" s="345"/>
    </row>
    <row r="89" spans="1:15" ht="78" customHeight="1">
      <c r="A89" s="331"/>
      <c r="B89" s="333"/>
      <c r="C89" s="333"/>
      <c r="D89" s="333"/>
      <c r="E89" s="338"/>
      <c r="F89" s="340"/>
      <c r="H89" s="331"/>
      <c r="I89" s="368"/>
      <c r="J89" s="368"/>
      <c r="K89" s="368"/>
      <c r="L89" s="368"/>
      <c r="M89" s="371"/>
      <c r="N89" s="368"/>
      <c r="O89" s="346"/>
    </row>
    <row r="90" spans="1:15" ht="16.5" customHeight="1">
      <c r="A90" s="330"/>
      <c r="B90" s="336"/>
      <c r="C90" s="336"/>
      <c r="D90" s="336"/>
      <c r="E90" s="337"/>
      <c r="F90" s="339">
        <v>1</v>
      </c>
      <c r="H90" s="330"/>
      <c r="I90" s="367"/>
      <c r="J90" s="367"/>
      <c r="K90" s="367"/>
      <c r="L90" s="367"/>
      <c r="M90" s="370"/>
      <c r="N90" s="367"/>
      <c r="O90" s="345"/>
    </row>
    <row r="91" spans="1:15" ht="17.100000000000001" customHeight="1" thickBot="1">
      <c r="A91" s="331"/>
      <c r="B91" s="384"/>
      <c r="C91" s="384"/>
      <c r="D91" s="384"/>
      <c r="E91" s="460"/>
      <c r="F91" s="340"/>
      <c r="H91" s="376"/>
      <c r="I91" s="379"/>
      <c r="J91" s="379"/>
      <c r="K91" s="379"/>
      <c r="L91" s="379"/>
      <c r="M91" s="380"/>
      <c r="N91" s="379"/>
      <c r="O91" s="381"/>
    </row>
    <row r="92" spans="1:15">
      <c r="A92" s="34" t="s">
        <v>195</v>
      </c>
      <c r="B92" s="34" t="s">
        <v>196</v>
      </c>
      <c r="C92" s="35" t="s">
        <v>197</v>
      </c>
      <c r="D92" s="35" t="s">
        <v>198</v>
      </c>
      <c r="E92" s="377" t="s">
        <v>199</v>
      </c>
      <c r="F92" s="378"/>
      <c r="G92" s="28"/>
    </row>
    <row r="93" spans="1:15">
      <c r="A93" s="28"/>
      <c r="C93" s="28"/>
      <c r="D93" s="28"/>
      <c r="E93" s="28"/>
      <c r="F93" s="28"/>
      <c r="G93" s="28"/>
    </row>
    <row r="94" spans="1:15">
      <c r="C94" s="28"/>
      <c r="D94" s="28"/>
      <c r="E94" s="28"/>
      <c r="F94" s="28"/>
      <c r="G94" s="28"/>
      <c r="H94" s="28"/>
    </row>
  </sheetData>
  <mergeCells count="141">
    <mergeCell ref="A3:B3"/>
    <mergeCell ref="A6:A7"/>
    <mergeCell ref="B6:B7"/>
    <mergeCell ref="C6:C7"/>
    <mergeCell ref="D6:D7"/>
    <mergeCell ref="E6:E7"/>
    <mergeCell ref="F6:F7"/>
    <mergeCell ref="G6:G7"/>
    <mergeCell ref="A10:A11"/>
    <mergeCell ref="B10:B11"/>
    <mergeCell ref="C10:C11"/>
    <mergeCell ref="D10:D11"/>
    <mergeCell ref="E10:E11"/>
    <mergeCell ref="F10:F11"/>
    <mergeCell ref="G10:G11"/>
    <mergeCell ref="A8:A9"/>
    <mergeCell ref="B8:B9"/>
    <mergeCell ref="C8:C9"/>
    <mergeCell ref="D8:D9"/>
    <mergeCell ref="E8:E9"/>
    <mergeCell ref="F8:F9"/>
    <mergeCell ref="G8:G9"/>
    <mergeCell ref="A18:A19"/>
    <mergeCell ref="B18:B19"/>
    <mergeCell ref="C18:C19"/>
    <mergeCell ref="D18:D19"/>
    <mergeCell ref="F18:F19"/>
    <mergeCell ref="G18:G19"/>
    <mergeCell ref="G16:G17"/>
    <mergeCell ref="A14:A15"/>
    <mergeCell ref="B14:B15"/>
    <mergeCell ref="C14:C15"/>
    <mergeCell ref="D14:D15"/>
    <mergeCell ref="E14:E15"/>
    <mergeCell ref="F14:F15"/>
    <mergeCell ref="G14:G15"/>
    <mergeCell ref="A16:A17"/>
    <mergeCell ref="B16:B17"/>
    <mergeCell ref="C16:C17"/>
    <mergeCell ref="D16:D17"/>
    <mergeCell ref="E16:E17"/>
    <mergeCell ref="F16:F17"/>
    <mergeCell ref="E18:E19"/>
    <mergeCell ref="G20:G21"/>
    <mergeCell ref="A20:A21"/>
    <mergeCell ref="B20:B21"/>
    <mergeCell ref="C20:C21"/>
    <mergeCell ref="D20:D21"/>
    <mergeCell ref="E20:E21"/>
    <mergeCell ref="F20:F21"/>
    <mergeCell ref="A84:A85"/>
    <mergeCell ref="B84:B85"/>
    <mergeCell ref="C84:C85"/>
    <mergeCell ref="D84:D85"/>
    <mergeCell ref="E84:E85"/>
    <mergeCell ref="A40:E40"/>
    <mergeCell ref="A42:B42"/>
    <mergeCell ref="A43:A44"/>
    <mergeCell ref="B43:F43"/>
    <mergeCell ref="A78:F78"/>
    <mergeCell ref="A82:A83"/>
    <mergeCell ref="B82:B83"/>
    <mergeCell ref="C82:C83"/>
    <mergeCell ref="D82:D83"/>
    <mergeCell ref="E82:E83"/>
    <mergeCell ref="H78:O78"/>
    <mergeCell ref="A80:A81"/>
    <mergeCell ref="B80:B81"/>
    <mergeCell ref="C80:C81"/>
    <mergeCell ref="D80:D81"/>
    <mergeCell ref="E80:E81"/>
    <mergeCell ref="F80:F81"/>
    <mergeCell ref="H80:H81"/>
    <mergeCell ref="I80:I81"/>
    <mergeCell ref="J80:J81"/>
    <mergeCell ref="K80:K81"/>
    <mergeCell ref="L80:L81"/>
    <mergeCell ref="M80:M81"/>
    <mergeCell ref="N80:N81"/>
    <mergeCell ref="O80:O81"/>
    <mergeCell ref="M82:M83"/>
    <mergeCell ref="N82:N83"/>
    <mergeCell ref="K86:K87"/>
    <mergeCell ref="L86:L87"/>
    <mergeCell ref="M86:M87"/>
    <mergeCell ref="N86:N87"/>
    <mergeCell ref="N84:N85"/>
    <mergeCell ref="O86:O87"/>
    <mergeCell ref="F86:F87"/>
    <mergeCell ref="H86:H87"/>
    <mergeCell ref="I86:I87"/>
    <mergeCell ref="J86:J87"/>
    <mergeCell ref="O82:O83"/>
    <mergeCell ref="I82:I83"/>
    <mergeCell ref="J82:J83"/>
    <mergeCell ref="K82:K83"/>
    <mergeCell ref="L82:L83"/>
    <mergeCell ref="O84:O85"/>
    <mergeCell ref="I84:I85"/>
    <mergeCell ref="J84:J85"/>
    <mergeCell ref="K84:K85"/>
    <mergeCell ref="L84:L85"/>
    <mergeCell ref="M84:M85"/>
    <mergeCell ref="F84:F85"/>
    <mergeCell ref="H84:H85"/>
    <mergeCell ref="F82:F83"/>
    <mergeCell ref="H82:H83"/>
    <mergeCell ref="O90:O91"/>
    <mergeCell ref="E92:F92"/>
    <mergeCell ref="I90:I91"/>
    <mergeCell ref="J90:J91"/>
    <mergeCell ref="K90:K91"/>
    <mergeCell ref="L90:L91"/>
    <mergeCell ref="M90:M91"/>
    <mergeCell ref="N90:N91"/>
    <mergeCell ref="M88:M89"/>
    <mergeCell ref="N88:N89"/>
    <mergeCell ref="O88:O89"/>
    <mergeCell ref="I88:I89"/>
    <mergeCell ref="J88:J89"/>
    <mergeCell ref="K88:K89"/>
    <mergeCell ref="L88:L89"/>
    <mergeCell ref="E88:E89"/>
    <mergeCell ref="E90:E91"/>
    <mergeCell ref="F90:F91"/>
    <mergeCell ref="H90:H91"/>
    <mergeCell ref="F88:F89"/>
    <mergeCell ref="H88:H89"/>
    <mergeCell ref="E86:E87"/>
    <mergeCell ref="A88:A89"/>
    <mergeCell ref="B88:B89"/>
    <mergeCell ref="C88:C89"/>
    <mergeCell ref="D88:D89"/>
    <mergeCell ref="A90:A91"/>
    <mergeCell ref="B90:B91"/>
    <mergeCell ref="C90:C91"/>
    <mergeCell ref="D90:D91"/>
    <mergeCell ref="A86:A87"/>
    <mergeCell ref="B86:B87"/>
    <mergeCell ref="C86:C87"/>
    <mergeCell ref="D86:D87"/>
  </mergeCells>
  <conditionalFormatting sqref="A51 C51:F51 A80:A91">
    <cfRule type="containsBlanks" dxfId="537" priority="22">
      <formula>LEN(TRIM(A51))=0</formula>
    </cfRule>
  </conditionalFormatting>
  <conditionalFormatting sqref="A45:F45 B46:F46 A48:F48 B49:F49 B52:F52 A54:F54 B55:F55 A57:F57 B58:F58 A60:F60 B61:F61">
    <cfRule type="containsBlanks" dxfId="536" priority="21">
      <formula>LEN(TRIM(A45))=0</formula>
    </cfRule>
  </conditionalFormatting>
  <conditionalFormatting sqref="A6:G6 A10:G10">
    <cfRule type="containsBlanks" dxfId="535" priority="25">
      <formula>LEN(TRIM(A6))=0</formula>
    </cfRule>
  </conditionalFormatting>
  <conditionalFormatting sqref="A14:G14">
    <cfRule type="containsBlanks" dxfId="534" priority="9">
      <formula>LEN(TRIM(A14))=0</formula>
    </cfRule>
  </conditionalFormatting>
  <conditionalFormatting sqref="A16:G16 A18:G18">
    <cfRule type="containsBlanks" dxfId="533" priority="36">
      <formula>LEN(TRIM(A16))=0</formula>
    </cfRule>
  </conditionalFormatting>
  <conditionalFormatting sqref="A20:G20">
    <cfRule type="containsBlanks" dxfId="532" priority="7">
      <formula>LEN(TRIM(A20))=0</formula>
    </cfRule>
  </conditionalFormatting>
  <conditionalFormatting sqref="B8">
    <cfRule type="containsBlanks" dxfId="531" priority="1">
      <formula>LEN(TRIM(B8))=0</formula>
    </cfRule>
  </conditionalFormatting>
  <conditionalFormatting sqref="B80:E80 B82:E82 B84:E84 B86:E86 B88:E88 B90:E90">
    <cfRule type="containsBlanks" dxfId="530" priority="31">
      <formula>LEN(TRIM(B80))=0</formula>
    </cfRule>
  </conditionalFormatting>
  <conditionalFormatting sqref="D1 F1">
    <cfRule type="containsBlanks" dxfId="529" priority="39">
      <formula>LEN(TRIM(D1))=0</formula>
    </cfRule>
  </conditionalFormatting>
  <conditionalFormatting sqref="F80 F82 F84 F86 F88 F90">
    <cfRule type="expression" dxfId="528" priority="38">
      <formula>AND(#REF!&lt;&gt;"",E80&lt;TODAY(),F80&lt;4)</formula>
    </cfRule>
  </conditionalFormatting>
  <conditionalFormatting sqref="F80 F82 F84 F90 F88 F86">
    <cfRule type="iconSet" priority="37">
      <iconSet iconSet="5Quarters" showValue="0">
        <cfvo type="percent" val="0"/>
        <cfvo type="num" val="2"/>
        <cfvo type="num" val="3"/>
        <cfvo type="num" val="4"/>
        <cfvo type="num" val="5"/>
      </iconSet>
    </cfRule>
  </conditionalFormatting>
  <conditionalFormatting sqref="H80:H91">
    <cfRule type="containsBlanks" dxfId="527" priority="20">
      <formula>LEN(TRIM(H80))=0</formula>
    </cfRule>
  </conditionalFormatting>
  <conditionalFormatting sqref="I80:O80 I82:O82 I84:O84 I86:O86 I88:O88 I90:O90">
    <cfRule type="containsBlanks" dxfId="526" priority="30">
      <formula>LEN(TRIM(I80))=0</formula>
    </cfRule>
  </conditionalFormatting>
  <conditionalFormatting sqref="I7:T7 I9:T9 I11:T11 I15:T15 I17:T17 I19:T19 I21:T21">
    <cfRule type="expression" dxfId="525" priority="26">
      <formula>AND(OR($F6="Lower the better", $F6="Lower the Better"), I7&gt;I6)</formula>
    </cfRule>
    <cfRule type="expression" dxfId="524" priority="27">
      <formula>AND(OR($F6="Lower the better", $F6="Lower the Better"), I7&lt;=I6)</formula>
    </cfRule>
    <cfRule type="expression" dxfId="523" priority="28">
      <formula>AND(OR($F6="Higher the better", $F6="Higher the Better"), I7&lt;I6)</formula>
    </cfRule>
    <cfRule type="expression" dxfId="522" priority="29" stopIfTrue="1">
      <formula>AND(OR($F6="Higher the better", $F6="Higher the Better"), I7&gt;=I6)</formula>
    </cfRule>
  </conditionalFormatting>
  <conditionalFormatting sqref="I7:T7 I9:T9 I11:T11">
    <cfRule type="containsBlanks" dxfId="521" priority="23">
      <formula>LEN(TRIM(I7))=0</formula>
    </cfRule>
  </conditionalFormatting>
  <conditionalFormatting sqref="I15:T15 I17:T17 I19:T19 I21:T21">
    <cfRule type="containsBlanks" dxfId="520" priority="12">
      <formula>LEN(TRIM(I15))=0</formula>
    </cfRule>
  </conditionalFormatting>
  <conditionalFormatting sqref="M80:M91">
    <cfRule type="containsText" dxfId="519" priority="18" operator="containsText" text="No">
      <formula>NOT(ISERROR(SEARCH("No",M80)))</formula>
    </cfRule>
    <cfRule type="containsText" dxfId="518" priority="19" operator="containsText" text="Yes">
      <formula>NOT(ISERROR(SEARCH("Yes",M80)))</formula>
    </cfRule>
  </conditionalFormatting>
  <dataValidations count="7">
    <dataValidation type="list" allowBlank="1" showInputMessage="1" showErrorMessage="1" sqref="E20:E21 E14:E18 E6:E8 E10:E11" xr:uid="{5FF1B9CC-92C3-4509-A2F9-00A99D7D81F2}">
      <formula1>"%, Mn, No., "</formula1>
    </dataValidation>
    <dataValidation type="list" allowBlank="1" showInputMessage="1" showErrorMessage="1" sqref="B1:B2" xr:uid="{3B423CEF-AA4F-4084-82AC-94DECC80F556}">
      <formula1>"Jan-2026, Feb-2026, Mar-2026, Apr-2026, May-2026, Jun-2026, Jul-2026, Aug-2026, Sep-2026, Oct-2026, Nov-2026, Dec-2026"</formula1>
    </dataValidation>
    <dataValidation type="list" allowBlank="1" showInputMessage="1" showErrorMessage="1" sqref="M80 M82 M84 M86 M88 M90" xr:uid="{21A023F0-176F-4B4C-B7DD-F496AF9424C1}">
      <formula1>"Yes, No"</formula1>
    </dataValidation>
    <dataValidation type="list" allowBlank="1" showInputMessage="1" showErrorMessage="1" sqref="C20:C21 C14:C18 C6:C8 C10:C11" xr:uid="{55CF7ACC-306E-49A8-9335-3A5819841573}">
      <formula1>"&gt;, &lt;, &gt;=, &lt;=, ="</formula1>
    </dataValidation>
    <dataValidation type="list" allowBlank="1" showInputMessage="1" showErrorMessage="1" sqref="G14:G21 G6:G8 G10:G11" xr:uid="{A25A0305-A5DB-47BD-B5BA-4F2B9BA1CE51}">
      <formula1>"Monthly, Quarterly, Half yearly"</formula1>
    </dataValidation>
    <dataValidation type="list" allowBlank="1" showInputMessage="1" showErrorMessage="1" sqref="F20:F21 F14:F18 F6:F8 F10:F11" xr:uid="{551616E8-2AC2-4B15-9111-59446BCC5B25}">
      <formula1>"Higher the better, Lower the better"</formula1>
    </dataValidation>
    <dataValidation type="list" allowBlank="1" showInputMessage="1" showErrorMessage="1" sqref="F80:G80 F82:G82 F84:G84 F88:G88 F90:G90 F86:G86" xr:uid="{CA844B30-62C9-4D34-925F-F3E17C041C34}">
      <formula1>"1,2,3,4,5"</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5C9EA-BEC2-4E1F-B953-8A137FF7CFC8}">
  <sheetPr codeName="Sheet5"/>
  <dimension ref="A1:AI114"/>
  <sheetViews>
    <sheetView topLeftCell="A65" zoomScale="70" zoomScaleNormal="70" workbookViewId="0">
      <selection activeCell="N4" sqref="N4"/>
    </sheetView>
  </sheetViews>
  <sheetFormatPr defaultRowHeight="14.45"/>
  <cols>
    <col min="1" max="1" width="16.5703125" customWidth="1"/>
    <col min="2" max="2" width="25.5703125" style="28" customWidth="1"/>
    <col min="3" max="3" width="9.140625" customWidth="1"/>
    <col min="4" max="4" width="19.5703125" customWidth="1"/>
    <col min="5" max="5" width="9.42578125" customWidth="1"/>
    <col min="6" max="6" width="13" customWidth="1"/>
    <col min="7" max="7" width="17.5703125" customWidth="1"/>
    <col min="8" max="8" width="11.5703125" customWidth="1"/>
    <col min="9" max="9" width="9.140625" customWidth="1"/>
    <col min="10" max="12" width="11.5703125" customWidth="1"/>
    <col min="13" max="13" width="14.42578125" customWidth="1"/>
    <col min="14" max="16" width="11.5703125" customWidth="1"/>
    <col min="17" max="20" width="12" customWidth="1"/>
    <col min="21" max="21" width="14.5703125" customWidth="1"/>
    <col min="22" max="22" width="9.42578125" customWidth="1"/>
    <col min="23" max="23" width="11.42578125" hidden="1" customWidth="1"/>
    <col min="24" max="24" width="11" hidden="1" customWidth="1"/>
    <col min="25" max="25" width="8.42578125" hidden="1" customWidth="1"/>
    <col min="26" max="35" width="4.5703125" hidden="1" customWidth="1"/>
    <col min="36" max="36" width="9.42578125" customWidth="1"/>
    <col min="37" max="49" width="8.5703125" customWidth="1"/>
  </cols>
  <sheetData>
    <row r="1" spans="1:35" ht="19.350000000000001" customHeight="1">
      <c r="A1" s="12" t="s">
        <v>0</v>
      </c>
      <c r="B1" s="30">
        <v>46023</v>
      </c>
      <c r="C1" s="12" t="s">
        <v>88</v>
      </c>
      <c r="D1" s="12" t="s">
        <v>41</v>
      </c>
      <c r="E1" s="12" t="s">
        <v>89</v>
      </c>
      <c r="F1" s="12" t="s">
        <v>241</v>
      </c>
      <c r="W1" t="s">
        <v>90</v>
      </c>
      <c r="X1">
        <f>IF(I15&lt;&gt;"",IF($F14="Higher the better",IF(I15&gt;=I14,I15,NA()),IF(I15&lt;=I14,I15,NA())),NA())</f>
        <v>0.91</v>
      </c>
      <c r="Y1">
        <f t="shared" ref="Y1:AI1" si="0">IF(J15&lt;&gt;"",IF($F14="Higher the better",IF(J15&gt;=J14,J15,NA()),IF(J15&lt;=J14,J15,NA())),NA())</f>
        <v>0.96</v>
      </c>
      <c r="Z1" t="e">
        <f t="shared" si="0"/>
        <v>#N/A</v>
      </c>
      <c r="AA1" t="e">
        <f t="shared" si="0"/>
        <v>#N/A</v>
      </c>
      <c r="AB1" t="e">
        <f t="shared" si="0"/>
        <v>#N/A</v>
      </c>
      <c r="AC1">
        <f t="shared" si="0"/>
        <v>0.95</v>
      </c>
      <c r="AD1">
        <f t="shared" si="0"/>
        <v>0.92</v>
      </c>
      <c r="AE1" t="e">
        <f t="shared" si="0"/>
        <v>#N/A</v>
      </c>
      <c r="AF1" t="e">
        <f t="shared" si="0"/>
        <v>#N/A</v>
      </c>
      <c r="AG1" t="e">
        <f t="shared" si="0"/>
        <v>#N/A</v>
      </c>
      <c r="AH1" t="e">
        <f t="shared" si="0"/>
        <v>#N/A</v>
      </c>
      <c r="AI1" t="e">
        <f t="shared" si="0"/>
        <v>#N/A</v>
      </c>
    </row>
    <row r="2" spans="1:35" ht="19.350000000000001" customHeight="1">
      <c r="A2" s="13"/>
      <c r="B2" s="37"/>
      <c r="D2" s="13"/>
      <c r="E2" s="13"/>
      <c r="I2" s="88"/>
      <c r="J2" s="88"/>
      <c r="K2" s="88"/>
      <c r="L2" s="88"/>
      <c r="M2" s="88"/>
      <c r="N2" s="88"/>
      <c r="O2" s="265"/>
      <c r="P2" s="88"/>
      <c r="Q2" s="88"/>
      <c r="R2" s="88"/>
      <c r="S2" s="88"/>
      <c r="T2" s="88"/>
      <c r="W2" t="s">
        <v>91</v>
      </c>
      <c r="X2" t="e">
        <f>IF(I15&lt;&gt;"",IF($F14="Higher the better",IF(I15&lt;I14,I15,NA()),IF(I15&gt;I14,I15,NA())),NA())</f>
        <v>#N/A</v>
      </c>
      <c r="Y2" t="e">
        <f t="shared" ref="Y2:AI2" si="1">IF(J15&lt;&gt;"",IF($F14="Higher the better",IF(J15&lt;J14,J15,NA()),IF(J15&gt;J14,J15,NA())),NA())</f>
        <v>#N/A</v>
      </c>
      <c r="Z2">
        <f t="shared" si="1"/>
        <v>0.66</v>
      </c>
      <c r="AA2">
        <f t="shared" si="1"/>
        <v>0.73</v>
      </c>
      <c r="AB2">
        <f t="shared" si="1"/>
        <v>0.71</v>
      </c>
      <c r="AC2" t="e">
        <f t="shared" si="1"/>
        <v>#N/A</v>
      </c>
      <c r="AD2" t="e">
        <f t="shared" si="1"/>
        <v>#N/A</v>
      </c>
      <c r="AE2" t="e">
        <f t="shared" si="1"/>
        <v>#N/A</v>
      </c>
      <c r="AF2" t="e">
        <f t="shared" si="1"/>
        <v>#N/A</v>
      </c>
      <c r="AG2" t="e">
        <f t="shared" si="1"/>
        <v>#N/A</v>
      </c>
      <c r="AH2" t="e">
        <f t="shared" si="1"/>
        <v>#N/A</v>
      </c>
      <c r="AI2" t="e">
        <f t="shared" si="1"/>
        <v>#N/A</v>
      </c>
    </row>
    <row r="3" spans="1:35" ht="20.100000000000001" customHeight="1">
      <c r="A3" s="347" t="s">
        <v>242</v>
      </c>
      <c r="B3" s="347"/>
      <c r="O3" s="88"/>
      <c r="P3" s="88"/>
      <c r="Q3" s="88"/>
      <c r="R3" s="88"/>
      <c r="S3" s="88"/>
      <c r="T3" s="88"/>
      <c r="W3" t="s">
        <v>90</v>
      </c>
      <c r="X3">
        <f t="shared" ref="X3" si="2">IF(I17&lt;&gt;"",IF($F16="Higher the better",IF(I17&gt;=I16,I17,NA()),IF(I17&lt;=I16,I17,NA())),NA())</f>
        <v>113</v>
      </c>
      <c r="Y3">
        <f t="shared" ref="Y3" si="3">IF(J17&lt;&gt;"",IF($F16="Higher the better",IF(J17&gt;=J16,J17,NA()),IF(J17&lt;=J16,J17,NA())),NA())</f>
        <v>119</v>
      </c>
      <c r="Z3" t="e">
        <f t="shared" ref="Z3" si="4">IF(K17&lt;&gt;"",IF($F16="Higher the better",IF(K17&gt;=K16,K17,NA()),IF(K17&lt;=K16,K17,NA())),NA())</f>
        <v>#N/A</v>
      </c>
      <c r="AA3" t="e">
        <f t="shared" ref="AA3" si="5">IF(L17&lt;&gt;"",IF($F16="Higher the better",IF(L17&gt;=L16,L17,NA()),IF(L17&lt;=L16,L17,NA())),NA())</f>
        <v>#N/A</v>
      </c>
      <c r="AB3" t="e">
        <f t="shared" ref="AB3" si="6">IF(M17&lt;&gt;"",IF($F16="Higher the better",IF(M17&gt;=M16,M17,NA()),IF(M17&lt;=M16,M17,NA())),NA())</f>
        <v>#N/A</v>
      </c>
      <c r="AC3" t="e">
        <f t="shared" ref="AC3" si="7">IF(N17&lt;&gt;"",IF($F16="Higher the better",IF(N17&gt;=N16,N17,NA()),IF(N17&lt;=N16,N17,NA())),NA())</f>
        <v>#N/A</v>
      </c>
      <c r="AD3" t="e">
        <f t="shared" ref="AD3" si="8">IF(O17&lt;&gt;"",IF($F16="Higher the better",IF(O17&gt;=O16,O17,NA()),IF(O17&lt;=O16,O17,NA())),NA())</f>
        <v>#N/A</v>
      </c>
      <c r="AE3" t="e">
        <f t="shared" ref="AE3" si="9">IF(P17&lt;&gt;"",IF($F16="Higher the better",IF(P17&gt;=P16,P17,NA()),IF(P17&lt;=P16,P17,NA())),NA())</f>
        <v>#N/A</v>
      </c>
      <c r="AF3" t="e">
        <f t="shared" ref="AF3" si="10">IF(Q17&lt;&gt;"",IF($F16="Higher the better",IF(Q17&gt;=Q16,Q17,NA()),IF(Q17&lt;=Q16,Q17,NA())),NA())</f>
        <v>#N/A</v>
      </c>
      <c r="AG3" t="e">
        <f t="shared" ref="AG3" si="11">IF(R17&lt;&gt;"",IF($F16="Higher the better",IF(R17&gt;=R16,R17,NA()),IF(R17&lt;=R16,R17,NA())),NA())</f>
        <v>#N/A</v>
      </c>
      <c r="AH3" t="e">
        <f t="shared" ref="AH3" si="12">IF(S17&lt;&gt;"",IF($F16="Higher the better",IF(S17&gt;=S16,S17,NA()),IF(S17&lt;=S16,S17,NA())),NA())</f>
        <v>#N/A</v>
      </c>
      <c r="AI3" t="e">
        <f t="shared" ref="AI3" si="13">IF(T17&lt;&gt;"",IF($F16="Higher the better",IF(T17&gt;=T16,T17,NA()),IF(T17&lt;=T16,T17,NA())),NA())</f>
        <v>#N/A</v>
      </c>
    </row>
    <row r="4" spans="1:35" ht="18.600000000000001" customHeight="1">
      <c r="A4" s="11" t="s">
        <v>93</v>
      </c>
      <c r="B4" s="11"/>
      <c r="N4" t="s">
        <v>243</v>
      </c>
      <c r="W4" t="s">
        <v>91</v>
      </c>
      <c r="X4" t="e">
        <f t="shared" ref="X4" si="14">IF(I17&lt;&gt;"",IF($F16="Higher the better",IF(I17&lt;I16,I17,NA()),IF(I17&gt;I16,I17,NA())),NA())</f>
        <v>#N/A</v>
      </c>
      <c r="Y4" t="e">
        <f t="shared" ref="Y4" si="15">IF(J17&lt;&gt;"",IF($F16="Higher the better",IF(J17&lt;J16,J17,NA()),IF(J17&gt;J16,J17,NA())),NA())</f>
        <v>#N/A</v>
      </c>
      <c r="Z4">
        <f t="shared" ref="Z4" si="16">IF(K17&lt;&gt;"",IF($F16="Higher the better",IF(K17&lt;K16,K17,NA()),IF(K17&gt;K16,K17,NA())),NA())</f>
        <v>111</v>
      </c>
      <c r="AA4">
        <f t="shared" ref="AA4" si="17">IF(L17&lt;&gt;"",IF($F16="Higher the better",IF(L17&lt;L16,L17,NA()),IF(L17&gt;L16,L17,NA())),NA())</f>
        <v>89</v>
      </c>
      <c r="AB4">
        <f t="shared" ref="AB4" si="18">IF(M17&lt;&gt;"",IF($F16="Higher the better",IF(M17&lt;M16,M17,NA()),IF(M17&gt;M16,M17,NA())),NA())</f>
        <v>113</v>
      </c>
      <c r="AC4">
        <f t="shared" ref="AC4" si="19">IF(N17&lt;&gt;"",IF($F16="Higher the better",IF(N17&lt;N16,N17,NA()),IF(N17&gt;N16,N17,NA())),NA())</f>
        <v>109</v>
      </c>
      <c r="AD4">
        <f t="shared" ref="AD4" si="20">IF(O17&lt;&gt;"",IF($F16="Higher the better",IF(O17&lt;O16,O17,NA()),IF(O17&gt;O16,O17,NA())),NA())</f>
        <v>116</v>
      </c>
      <c r="AE4" t="e">
        <f t="shared" ref="AE4" si="21">IF(P17&lt;&gt;"",IF($F16="Higher the better",IF(P17&lt;P16,P17,NA()),IF(P17&gt;P16,P17,NA())),NA())</f>
        <v>#N/A</v>
      </c>
      <c r="AF4" t="e">
        <f t="shared" ref="AF4" si="22">IF(Q17&lt;&gt;"",IF($F16="Higher the better",IF(Q17&lt;Q16,Q17,NA()),IF(Q17&gt;Q16,Q17,NA())),NA())</f>
        <v>#N/A</v>
      </c>
      <c r="AG4" t="e">
        <f t="shared" ref="AG4" si="23">IF(R17&lt;&gt;"",IF($F16="Higher the better",IF(R17&lt;R16,R17,NA()),IF(R17&gt;R16,R17,NA())),NA())</f>
        <v>#N/A</v>
      </c>
      <c r="AH4" t="e">
        <f t="shared" ref="AH4" si="24">IF(S17&lt;&gt;"",IF($F16="Higher the better",IF(S17&lt;S16,S17,NA()),IF(S17&gt;S16,S17,NA())),NA())</f>
        <v>#N/A</v>
      </c>
      <c r="AI4" t="e">
        <f t="shared" ref="AI4" si="25">IF(T17&lt;&gt;"",IF($F16="Higher the better",IF(T17&lt;T16,T17,NA()),IF(T17&gt;T16,T17,NA())),NA())</f>
        <v>#N/A</v>
      </c>
    </row>
    <row r="5" spans="1:35"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s="90" t="s">
        <v>90</v>
      </c>
      <c r="X5">
        <f>IF(I19&lt;&gt;"",IF($F18="Higher the better",IF(I19&gt;=I18,I19,NA()),IF(I19&lt;=I18,I19,NA())),NA())</f>
        <v>0.93</v>
      </c>
      <c r="Y5">
        <f t="shared" ref="Y5" si="26">IF(J19&lt;&gt;"",IF($F18="Higher the better",IF(J19&gt;=J18,J19,NA()),IF(J19&lt;=J18,J19,NA())),NA())</f>
        <v>0.89</v>
      </c>
      <c r="Z5" t="e">
        <f t="shared" ref="Z5" si="27">IF(K19&lt;&gt;"",IF($F18="Higher the better",IF(K19&gt;=K18,K19,NA()),IF(K19&lt;=K18,K19,NA())),NA())</f>
        <v>#N/A</v>
      </c>
      <c r="AA5" t="e">
        <f t="shared" ref="AA5" si="28">IF(L19&lt;&gt;"",IF($F18="Higher the better",IF(L19&gt;=L18,L19,NA()),IF(L19&lt;=L18,L19,NA())),NA())</f>
        <v>#N/A</v>
      </c>
      <c r="AB5">
        <f t="shared" ref="AB5" si="29">IF(M19&lt;&gt;"",IF($F18="Higher the better",IF(M19&gt;=M18,M19,NA()),IF(M19&lt;=M18,M19,NA())),NA())</f>
        <v>0.93</v>
      </c>
      <c r="AC5">
        <f t="shared" ref="AC5" si="30">IF(N19&lt;&gt;"",IF($F18="Higher the better",IF(N19&gt;=N18,N19,NA()),IF(N19&lt;=N18,N19,NA())),NA())</f>
        <v>0.93</v>
      </c>
      <c r="AD5">
        <f t="shared" ref="AD5" si="31">IF(O19&lt;&gt;"",IF($F18="Higher the better",IF(O19&gt;=O18,O19,NA()),IF(O19&lt;=O18,O19,NA())),NA())</f>
        <v>0.92</v>
      </c>
      <c r="AE5">
        <f t="shared" ref="AE5" si="32">IF(P19&lt;&gt;"",IF($F18="Higher the better",IF(P19&gt;=P18,P19,NA()),IF(P19&lt;=P18,P19,NA())),NA())</f>
        <v>0.96</v>
      </c>
      <c r="AF5" t="e">
        <f t="shared" ref="AF5" si="33">IF(Q19&lt;&gt;"",IF($F18="Higher the better",IF(Q19&gt;=Q18,Q19,NA()),IF(Q19&lt;=Q18,Q19,NA())),NA())</f>
        <v>#N/A</v>
      </c>
      <c r="AG5" t="e">
        <f t="shared" ref="AG5" si="34">IF(R19&lt;&gt;"",IF($F18="Higher the better",IF(R19&gt;=R18,R19,NA()),IF(R19&lt;=R18,R19,NA())),NA())</f>
        <v>#N/A</v>
      </c>
      <c r="AH5" t="e">
        <f t="shared" ref="AH5" si="35">IF(S19&lt;&gt;"",IF($F18="Higher the better",IF(S19&gt;=S18,S19,NA()),IF(S19&lt;=S18,S19,NA())),NA())</f>
        <v>#N/A</v>
      </c>
      <c r="AI5" t="e">
        <f t="shared" ref="AI5" si="36">IF(T19&lt;&gt;"",IF($F18="Higher the better",IF(T19&gt;=T18,T19,NA()),IF(T19&lt;=T18,T19,NA())),NA())</f>
        <v>#N/A</v>
      </c>
    </row>
    <row r="6" spans="1:35">
      <c r="A6" s="348" t="s">
        <v>244</v>
      </c>
      <c r="B6" s="350" t="s">
        <v>245</v>
      </c>
      <c r="C6" s="328" t="s">
        <v>115</v>
      </c>
      <c r="D6" s="336" t="s">
        <v>246</v>
      </c>
      <c r="E6" s="328" t="s">
        <v>247</v>
      </c>
      <c r="F6" s="336" t="s">
        <v>99</v>
      </c>
      <c r="G6" s="328" t="s">
        <v>55</v>
      </c>
      <c r="H6" s="14" t="s">
        <v>29</v>
      </c>
      <c r="I6" s="48">
        <v>8.6903064699999995</v>
      </c>
      <c r="J6" s="48">
        <v>14.05719274</v>
      </c>
      <c r="K6" s="48">
        <v>24.179072239999996</v>
      </c>
      <c r="L6" s="48">
        <v>33.551325879999993</v>
      </c>
      <c r="M6" s="48">
        <v>41.442863629999991</v>
      </c>
      <c r="N6" s="48">
        <v>60.823992749999988</v>
      </c>
      <c r="O6" s="48">
        <v>72.557892079999988</v>
      </c>
      <c r="P6" s="48">
        <v>82.449740689999985</v>
      </c>
      <c r="Q6" s="48">
        <v>97.41708853999998</v>
      </c>
      <c r="R6" s="48">
        <v>109.99426815999998</v>
      </c>
      <c r="S6" s="48">
        <v>123.71139688999997</v>
      </c>
      <c r="T6" s="48">
        <v>144.52878536999998</v>
      </c>
      <c r="U6" s="88"/>
      <c r="W6" t="s">
        <v>91</v>
      </c>
      <c r="X6" t="e">
        <f t="shared" ref="X6:AG6" si="37">IF(I19&lt;&gt;"",IF($F18="Higher the better",IF(I19&lt;I18,I19,NA()),IF(I19&gt;I18,I19,NA())),NA())</f>
        <v>#N/A</v>
      </c>
      <c r="Y6" t="e">
        <f t="shared" si="37"/>
        <v>#N/A</v>
      </c>
      <c r="Z6">
        <f t="shared" si="37"/>
        <v>0.88</v>
      </c>
      <c r="AA6">
        <f t="shared" si="37"/>
        <v>0.84</v>
      </c>
      <c r="AB6" t="e">
        <f t="shared" si="37"/>
        <v>#N/A</v>
      </c>
      <c r="AC6" t="e">
        <f t="shared" si="37"/>
        <v>#N/A</v>
      </c>
      <c r="AD6" t="e">
        <f t="shared" si="37"/>
        <v>#N/A</v>
      </c>
      <c r="AE6" t="e">
        <f t="shared" si="37"/>
        <v>#N/A</v>
      </c>
      <c r="AF6" t="e">
        <f t="shared" si="37"/>
        <v>#N/A</v>
      </c>
      <c r="AG6" t="e">
        <f t="shared" si="37"/>
        <v>#N/A</v>
      </c>
      <c r="AH6" t="e">
        <f t="shared" ref="AH6" si="38">IF(S19&lt;&gt;"",IF($F18="Higher the better",IF(S19&lt;S18,S19,NA()),IF(S19&gt;S18,S19,NA())),NA())</f>
        <v>#N/A</v>
      </c>
      <c r="AI6" t="e">
        <f t="shared" ref="AI6" si="39">IF(T19&lt;&gt;"",IF($F18="Higher the better",IF(T19&lt;T18,T19,NA()),IF(T19&gt;T18,T19,NA())),NA())</f>
        <v>#N/A</v>
      </c>
    </row>
    <row r="7" spans="1:35">
      <c r="A7" s="349"/>
      <c r="B7" s="344"/>
      <c r="C7" s="329"/>
      <c r="D7" s="329"/>
      <c r="E7" s="329"/>
      <c r="F7" s="333"/>
      <c r="G7" s="329"/>
      <c r="H7" s="14" t="s">
        <v>30</v>
      </c>
      <c r="I7" s="45">
        <v>4.0999999999999996</v>
      </c>
      <c r="J7" s="45">
        <v>9.8000000000000007</v>
      </c>
      <c r="K7" s="45">
        <v>25.3</v>
      </c>
      <c r="L7" s="45">
        <v>31.44</v>
      </c>
      <c r="M7" s="45">
        <v>40.9</v>
      </c>
      <c r="N7" s="45">
        <v>55.18</v>
      </c>
      <c r="O7" s="45">
        <v>61.4</v>
      </c>
      <c r="P7" s="45"/>
      <c r="Q7" s="45"/>
      <c r="R7" s="45"/>
      <c r="S7" s="45"/>
      <c r="T7" s="45"/>
      <c r="W7" t="s">
        <v>90</v>
      </c>
      <c r="X7">
        <f>IF(I21&lt;&gt;"",IF($F20="Higher the better",IF(I21&gt;=I20,I21,NA()),IF(I21&lt;=I20,I21,NA())),NA())</f>
        <v>0.8</v>
      </c>
      <c r="Y7">
        <f t="shared" ref="Y7" si="40">IF(J21&lt;&gt;"",IF($F20="Higher the better",IF(J21&gt;=J20,J21,NA()),IF(J21&lt;=J20,J21,NA())),NA())</f>
        <v>0.9</v>
      </c>
      <c r="Z7">
        <f t="shared" ref="Z7" si="41">IF(K21&lt;&gt;"",IF($F20="Higher the better",IF(K21&gt;=K20,K21,NA()),IF(K21&lt;=K20,K21,NA())),NA())</f>
        <v>1.02</v>
      </c>
      <c r="AA7" t="e">
        <f t="shared" ref="AA7" si="42">IF(L21&lt;&gt;"",IF($F20="Higher the better",IF(L21&gt;=L20,L21,NA()),IF(L21&lt;=L20,L21,NA())),NA())</f>
        <v>#N/A</v>
      </c>
      <c r="AB7" t="e">
        <f t="shared" ref="AB7" si="43">IF(M21&lt;&gt;"",IF($F20="Higher the better",IF(M21&gt;=M20,M21,NA()),IF(M21&lt;=M20,M21,NA())),NA())</f>
        <v>#N/A</v>
      </c>
      <c r="AC7" t="e">
        <f t="shared" ref="AC7" si="44">IF(N21&lt;&gt;"",IF($F20="Higher the better",IF(N21&gt;=N20,N21,NA()),IF(N21&lt;=N20,N21,NA())),NA())</f>
        <v>#N/A</v>
      </c>
      <c r="AD7" t="e">
        <f t="shared" ref="AD7" si="45">IF(O21&lt;&gt;"",IF($F20="Higher the better",IF(O21&gt;=O20,O21,NA()),IF(O21&lt;=O20,O21,NA())),NA())</f>
        <v>#N/A</v>
      </c>
      <c r="AE7" t="e">
        <f t="shared" ref="AE7" si="46">IF(P21&lt;&gt;"",IF($F20="Higher the better",IF(P21&gt;=P20,P21,NA()),IF(P21&lt;=P20,P21,NA())),NA())</f>
        <v>#N/A</v>
      </c>
      <c r="AF7" t="e">
        <f t="shared" ref="AF7" si="47">IF(Q21&lt;&gt;"",IF($F20="Higher the better",IF(Q21&gt;=Q20,Q21,NA()),IF(Q21&lt;=Q20,Q21,NA())),NA())</f>
        <v>#N/A</v>
      </c>
      <c r="AG7" t="e">
        <f t="shared" ref="AG7" si="48">IF(R21&lt;&gt;"",IF($F20="Higher the better",IF(R21&gt;=R20,R21,NA()),IF(R21&lt;=R20,R21,NA())),NA())</f>
        <v>#N/A</v>
      </c>
      <c r="AH7" t="e">
        <f t="shared" ref="AH7" si="49">IF(S21&lt;&gt;"",IF($F20="Higher the better",IF(S21&gt;=S20,S21,NA()),IF(S21&lt;=S20,S21,NA())),NA())</f>
        <v>#N/A</v>
      </c>
      <c r="AI7" t="e">
        <f t="shared" ref="AI7" si="50">IF(T21&lt;&gt;"",IF($F20="Higher the better",IF(T21&gt;=T20,T21,NA()),IF(T21&lt;=T20,T21,NA())),NA())</f>
        <v>#N/A</v>
      </c>
    </row>
    <row r="8" spans="1:35">
      <c r="A8" s="348" t="s">
        <v>248</v>
      </c>
      <c r="B8" s="348" t="s">
        <v>249</v>
      </c>
      <c r="C8" s="328" t="s">
        <v>115</v>
      </c>
      <c r="D8" s="437">
        <v>0.85</v>
      </c>
      <c r="E8" s="328" t="s">
        <v>98</v>
      </c>
      <c r="F8" s="336" t="s">
        <v>99</v>
      </c>
      <c r="G8" s="328" t="s">
        <v>55</v>
      </c>
      <c r="H8" s="14" t="s">
        <v>29</v>
      </c>
      <c r="I8" s="4">
        <v>0.69</v>
      </c>
      <c r="J8" s="4">
        <v>0.69</v>
      </c>
      <c r="K8" s="4">
        <v>0.69</v>
      </c>
      <c r="L8" s="4">
        <v>0.72</v>
      </c>
      <c r="M8" s="4">
        <v>0.72</v>
      </c>
      <c r="N8" s="4">
        <v>0.72</v>
      </c>
      <c r="O8" s="4">
        <v>0.74</v>
      </c>
      <c r="P8" s="4">
        <v>0.74</v>
      </c>
      <c r="Q8" s="4">
        <v>0.74</v>
      </c>
      <c r="R8" s="4">
        <v>0.77</v>
      </c>
      <c r="S8" s="4">
        <v>0.77</v>
      </c>
      <c r="T8" s="4">
        <v>0.8</v>
      </c>
      <c r="W8" t="s">
        <v>91</v>
      </c>
      <c r="X8" t="e">
        <f>IF(I21&lt;&gt;"",IF($F20="Higher the better",IF(I21&lt;I20,I21,NA()),IF(I21&gt;I20,I21,NA())),NA())</f>
        <v>#N/A</v>
      </c>
      <c r="Y8" t="e">
        <f t="shared" ref="Y8" si="51">IF(J21&lt;&gt;"",IF($F20="Higher the better",IF(J21&lt;J20,J21,NA()),IF(J21&gt;J20,J21,NA())),NA())</f>
        <v>#N/A</v>
      </c>
      <c r="Z8" t="e">
        <f t="shared" ref="Z8" si="52">IF(K21&lt;&gt;"",IF($F20="Higher the better",IF(K21&lt;K20,K21,NA()),IF(K21&gt;K20,K21,NA())),NA())</f>
        <v>#N/A</v>
      </c>
      <c r="AA8">
        <f t="shared" ref="AA8" si="53">IF(L21&lt;&gt;"",IF($F20="Higher the better",IF(L21&lt;L20,L21,NA()),IF(L21&gt;L20,L21,NA())),NA())</f>
        <v>0.6</v>
      </c>
      <c r="AB8">
        <f t="shared" ref="AB8" si="54">IF(M21&lt;&gt;"",IF($F20="Higher the better",IF(M21&lt;M20,M21,NA()),IF(M21&gt;M20,M21,NA())),NA())</f>
        <v>0.72</v>
      </c>
      <c r="AC8">
        <f t="shared" ref="AC8" si="55">IF(N21&lt;&gt;"",IF($F20="Higher the better",IF(N21&lt;N20,N21,NA()),IF(N21&gt;N20,N21,NA())),NA())</f>
        <v>0.81</v>
      </c>
      <c r="AD8">
        <f t="shared" ref="AD8" si="56">IF(O21&lt;&gt;"",IF($F20="Higher the better",IF(O21&lt;O20,O21,NA()),IF(O21&gt;O20,O21,NA())),NA())</f>
        <v>0.56000000000000005</v>
      </c>
      <c r="AE8">
        <f t="shared" ref="AE8" si="57">IF(P21&lt;&gt;"",IF($F20="Higher the better",IF(P21&lt;P20,P21,NA()),IF(P21&gt;P20,P21,NA())),NA())</f>
        <v>0.71</v>
      </c>
      <c r="AF8" t="e">
        <f t="shared" ref="AF8" si="58">IF(Q21&lt;&gt;"",IF($F20="Higher the better",IF(Q21&lt;Q20,Q21,NA()),IF(Q21&gt;Q20,Q21,NA())),NA())</f>
        <v>#N/A</v>
      </c>
      <c r="AG8" t="e">
        <f t="shared" ref="AG8" si="59">IF(R21&lt;&gt;"",IF($F20="Higher the better",IF(R21&lt;R20,R21,NA()),IF(R21&gt;R20,R21,NA())),NA())</f>
        <v>#N/A</v>
      </c>
      <c r="AH8" t="e">
        <f t="shared" ref="AH8" si="60">IF(S21&lt;&gt;"",IF($F20="Higher the better",IF(S21&lt;S20,S21,NA()),IF(S21&gt;S20,S21,NA())),NA())</f>
        <v>#N/A</v>
      </c>
      <c r="AI8" t="e">
        <f t="shared" ref="AI8" si="61">IF(T21&lt;&gt;"",IF($F20="Higher the better",IF(T21&lt;T20,T21,NA()),IF(T21&gt;T20,T21,NA())),NA())</f>
        <v>#N/A</v>
      </c>
    </row>
    <row r="9" spans="1:35">
      <c r="A9" s="349"/>
      <c r="B9" s="344"/>
      <c r="C9" s="329"/>
      <c r="D9" s="329"/>
      <c r="E9" s="329"/>
      <c r="F9" s="333"/>
      <c r="G9" s="329"/>
      <c r="H9" s="14" t="s">
        <v>30</v>
      </c>
      <c r="I9" s="5">
        <v>0.83</v>
      </c>
      <c r="J9" s="5">
        <v>0.82</v>
      </c>
      <c r="K9" s="5">
        <v>0.81</v>
      </c>
      <c r="L9" s="5">
        <v>0.6</v>
      </c>
      <c r="M9" s="5">
        <v>0.87</v>
      </c>
      <c r="N9" s="5">
        <v>0.77</v>
      </c>
      <c r="O9" s="5">
        <v>0.7</v>
      </c>
      <c r="P9" s="45"/>
      <c r="Q9" s="45"/>
      <c r="R9" s="45"/>
      <c r="S9" s="45"/>
      <c r="T9" s="45"/>
      <c r="W9" t="s">
        <v>90</v>
      </c>
      <c r="X9" t="e">
        <f t="shared" ref="X9" si="62">IF(I23&lt;&gt;"",IF($F22="Higher the better",IF(I23&gt;=I22,I23,NA()),IF(I23&lt;=I22,I23,NA())),NA())</f>
        <v>#N/A</v>
      </c>
      <c r="Y9" t="e">
        <f t="shared" ref="Y9" si="63">IF(J23&lt;&gt;"",IF($F22="Higher the better",IF(J23&gt;=J22,J23,NA()),IF(J23&lt;=J22,J23,NA())),NA())</f>
        <v>#N/A</v>
      </c>
      <c r="Z9" t="e">
        <f t="shared" ref="Z9" si="64">IF(K23&lt;&gt;"",IF($F22="Higher the better",IF(K23&gt;=K22,K23,NA()),IF(K23&lt;=K22,K23,NA())),NA())</f>
        <v>#N/A</v>
      </c>
      <c r="AA9" t="e">
        <f t="shared" ref="AA9" si="65">IF(L23&lt;&gt;"",IF($F22="Higher the better",IF(L23&gt;=L22,L23,NA()),IF(L23&lt;=L22,L23,NA())),NA())</f>
        <v>#N/A</v>
      </c>
      <c r="AB9" t="e">
        <f t="shared" ref="AB9" si="66">IF(M23&lt;&gt;"",IF($F22="Higher the better",IF(M23&gt;=M22,M23,NA()),IF(M23&lt;=M22,M23,NA())),NA())</f>
        <v>#N/A</v>
      </c>
      <c r="AC9" t="e">
        <f t="shared" ref="AC9" si="67">IF(N23&lt;&gt;"",IF($F22="Higher the better",IF(N23&gt;=N22,N23,NA()),IF(N23&lt;=N22,N23,NA())),NA())</f>
        <v>#N/A</v>
      </c>
      <c r="AD9" t="e">
        <f t="shared" ref="AD9" si="68">IF(O23&lt;&gt;"",IF($F22="Higher the better",IF(O23&gt;=O22,O23,NA()),IF(O23&lt;=O22,O23,NA())),NA())</f>
        <v>#N/A</v>
      </c>
      <c r="AE9" t="e">
        <f t="shared" ref="AE9" si="69">IF(P23&lt;&gt;"",IF($F22="Higher the better",IF(P23&gt;=P22,P23,NA()),IF(P23&lt;=P22,P23,NA())),NA())</f>
        <v>#N/A</v>
      </c>
      <c r="AF9" t="e">
        <f t="shared" ref="AF9" si="70">IF(Q23&lt;&gt;"",IF($F22="Higher the better",IF(Q23&gt;=Q22,Q23,NA()),IF(Q23&lt;=Q22,Q23,NA())),NA())</f>
        <v>#N/A</v>
      </c>
      <c r="AG9" t="e">
        <f t="shared" ref="AG9" si="71">IF(R23&lt;&gt;"",IF($F22="Higher the better",IF(R23&gt;=R22,R23,NA()),IF(R23&lt;=R22,R23,NA())),NA())</f>
        <v>#N/A</v>
      </c>
      <c r="AH9" t="e">
        <f t="shared" ref="AH9" si="72">IF(S23&lt;&gt;"",IF($F22="Higher the better",IF(S23&gt;=S22,S23,NA()),IF(S23&lt;=S22,S23,NA())),NA())</f>
        <v>#N/A</v>
      </c>
      <c r="AI9" t="e">
        <f t="shared" ref="AI9" si="73">IF(T23&lt;&gt;"",IF($F22="Higher the better",IF(T23&gt;=T22,T23,NA()),IF(T23&lt;=T22,T23,NA())),NA())</f>
        <v>#N/A</v>
      </c>
    </row>
    <row r="10" spans="1:35">
      <c r="A10" s="348" t="s">
        <v>250</v>
      </c>
      <c r="B10" s="354" t="s">
        <v>251</v>
      </c>
      <c r="C10" s="328" t="s">
        <v>252</v>
      </c>
      <c r="D10" s="437" t="s">
        <v>253</v>
      </c>
      <c r="E10" s="328" t="s">
        <v>98</v>
      </c>
      <c r="F10" s="336" t="s">
        <v>104</v>
      </c>
      <c r="G10" s="328" t="s">
        <v>55</v>
      </c>
      <c r="H10" s="14" t="s">
        <v>29</v>
      </c>
      <c r="I10" s="216">
        <v>0.28299999999999997</v>
      </c>
      <c r="J10" s="216">
        <v>0.28000000000000003</v>
      </c>
      <c r="K10" s="216">
        <v>0.28999999999999998</v>
      </c>
      <c r="L10" s="216">
        <v>0.28678379161961198</v>
      </c>
      <c r="M10" s="216">
        <v>0.26777765895476646</v>
      </c>
      <c r="N10" s="216">
        <v>0.2586282144425282</v>
      </c>
      <c r="O10" s="216">
        <v>0.24073532229081981</v>
      </c>
      <c r="P10" s="216">
        <v>0.23371551800282125</v>
      </c>
      <c r="Q10" s="216">
        <v>0.2460353692294788</v>
      </c>
      <c r="R10" s="216">
        <v>0.235680215161127</v>
      </c>
      <c r="S10" s="216">
        <v>0.23414399382135143</v>
      </c>
      <c r="T10" s="216">
        <v>0.21107105152264244</v>
      </c>
      <c r="W10" t="s">
        <v>91</v>
      </c>
      <c r="X10">
        <f t="shared" ref="X10" si="74">IF(I23&lt;&gt;"",IF($F22="Higher the better",IF(I23&lt;I22,I23,NA()),IF(I23&gt;I22,I23,NA())),NA())</f>
        <v>17.3</v>
      </c>
      <c r="Y10">
        <f t="shared" ref="Y10" si="75">IF(J23&lt;&gt;"",IF($F22="Higher the better",IF(J23&lt;J22,J23,NA()),IF(J23&gt;J22,J23,NA())),NA())</f>
        <v>21.89</v>
      </c>
      <c r="Z10">
        <f t="shared" ref="Z10" si="76">IF(K23&lt;&gt;"",IF($F22="Higher the better",IF(K23&lt;K22,K23,NA()),IF(K23&gt;K22,K23,NA())),NA())</f>
        <v>21.44</v>
      </c>
      <c r="AA10">
        <f t="shared" ref="AA10" si="77">IF(L23&lt;&gt;"",IF($F22="Higher the better",IF(L23&lt;L22,L23,NA()),IF(L23&gt;L22,L23,NA())),NA())</f>
        <v>24.02</v>
      </c>
      <c r="AB10">
        <f t="shared" ref="AB10" si="78">IF(M23&lt;&gt;"",IF($F22="Higher the better",IF(M23&lt;M22,M23,NA()),IF(M23&gt;M22,M23,NA())),NA())</f>
        <v>24.1</v>
      </c>
      <c r="AC10">
        <f t="shared" ref="AC10" si="79">IF(N23&lt;&gt;"",IF($F22="Higher the better",IF(N23&lt;N22,N23,NA()),IF(N23&gt;N22,N23,NA())),NA())</f>
        <v>22.5</v>
      </c>
      <c r="AD10">
        <f t="shared" ref="AD10" si="80">IF(O23&lt;&gt;"",IF($F22="Higher the better",IF(O23&lt;O22,O23,NA()),IF(O23&gt;O22,O23,NA())),NA())</f>
        <v>23</v>
      </c>
      <c r="AE10" t="e">
        <f t="shared" ref="AE10" si="81">IF(P23&lt;&gt;"",IF($F22="Higher the better",IF(P23&lt;P22,P23,NA()),IF(P23&gt;P22,P23,NA())),NA())</f>
        <v>#N/A</v>
      </c>
      <c r="AF10" t="e">
        <f t="shared" ref="AF10" si="82">IF(Q23&lt;&gt;"",IF($F22="Higher the better",IF(Q23&lt;Q22,Q23,NA()),IF(Q23&gt;Q22,Q23,NA())),NA())</f>
        <v>#N/A</v>
      </c>
      <c r="AG10" t="e">
        <f t="shared" ref="AG10" si="83">IF(R23&lt;&gt;"",IF($F22="Higher the better",IF(R23&lt;R22,R23,NA()),IF(R23&gt;R22,R23,NA())),NA())</f>
        <v>#N/A</v>
      </c>
      <c r="AH10" t="e">
        <f t="shared" ref="AH10" si="84">IF(S23&lt;&gt;"",IF($F22="Higher the better",IF(S23&lt;S22,S23,NA()),IF(S23&gt;S22,S23,NA())),NA())</f>
        <v>#N/A</v>
      </c>
      <c r="AI10" t="e">
        <f t="shared" ref="AI10" si="85">IF(T23&lt;&gt;"",IF($F22="Higher the better",IF(T23&lt;T22,T23,NA()),IF(T23&gt;T22,T23,NA())),NA())</f>
        <v>#N/A</v>
      </c>
    </row>
    <row r="11" spans="1:35">
      <c r="A11" s="349"/>
      <c r="B11" s="382"/>
      <c r="C11" s="329"/>
      <c r="D11" s="329"/>
      <c r="E11" s="329"/>
      <c r="F11" s="333"/>
      <c r="G11" s="329"/>
      <c r="H11" s="14" t="s">
        <v>30</v>
      </c>
      <c r="I11" s="125">
        <v>0.27400000000000002</v>
      </c>
      <c r="J11" s="125">
        <v>0.28999999999999998</v>
      </c>
      <c r="K11" s="125">
        <v>0.28999999999999998</v>
      </c>
      <c r="L11" s="125">
        <v>0.3</v>
      </c>
      <c r="M11" s="125">
        <v>0.3</v>
      </c>
      <c r="N11" s="125">
        <v>0.28999999999999998</v>
      </c>
      <c r="O11" s="125">
        <v>0.3</v>
      </c>
      <c r="P11" s="125"/>
      <c r="Q11" s="125"/>
      <c r="R11" s="125"/>
      <c r="S11" s="125"/>
      <c r="T11" s="125"/>
      <c r="W11" t="s">
        <v>90</v>
      </c>
      <c r="X11">
        <f t="shared" ref="X11" si="86">IF(I25&lt;&gt;"",IF($F24="Higher the better",IF(I25&gt;=I24,I25,NA()),IF(I25&lt;=I24,I25,NA())),NA())</f>
        <v>7</v>
      </c>
      <c r="Y11">
        <f t="shared" ref="Y11" si="87">IF(J25&lt;&gt;"",IF($F24="Higher the better",IF(J25&gt;=J24,J25,NA()),IF(J25&lt;=J24,J25,NA())),NA())</f>
        <v>8</v>
      </c>
      <c r="Z11" t="e">
        <f t="shared" ref="Z11" si="88">IF(K25&lt;&gt;"",IF($F24="Higher the better",IF(K25&gt;=K24,K25,NA()),IF(K25&lt;=K24,K25,NA())),NA())</f>
        <v>#N/A</v>
      </c>
      <c r="AA11" t="e">
        <f t="shared" ref="AA11" si="89">IF(L25&lt;&gt;"",IF($F24="Higher the better",IF(L25&gt;=L24,L25,NA()),IF(L25&lt;=L24,L25,NA())),NA())</f>
        <v>#N/A</v>
      </c>
      <c r="AB11" t="e">
        <f t="shared" ref="AB11" si="90">IF(M25&lt;&gt;"",IF($F24="Higher the better",IF(M25&gt;=M24,M25,NA()),IF(M25&lt;=M24,M25,NA())),NA())</f>
        <v>#N/A</v>
      </c>
      <c r="AC11">
        <f t="shared" ref="AC11" si="91">IF(N25&lt;&gt;"",IF($F24="Higher the better",IF(N25&gt;=N24,N25,NA()),IF(N25&lt;=N24,N25,NA())),NA())</f>
        <v>9</v>
      </c>
      <c r="AD11">
        <f t="shared" ref="AD11" si="92">IF(O25&lt;&gt;"",IF($F24="Higher the better",IF(O25&gt;=O24,O25,NA()),IF(O25&lt;=O24,O25,NA())),NA())</f>
        <v>13</v>
      </c>
      <c r="AE11" t="e">
        <f t="shared" ref="AE11" si="93">IF(P25&lt;&gt;"",IF($F24="Higher the better",IF(P25&gt;=P24,P25,NA()),IF(P25&lt;=P24,P25,NA())),NA())</f>
        <v>#N/A</v>
      </c>
      <c r="AF11" t="e">
        <f t="shared" ref="AF11" si="94">IF(Q25&lt;&gt;"",IF($F24="Higher the better",IF(Q25&gt;=Q24,Q25,NA()),IF(Q25&lt;=Q24,Q25,NA())),NA())</f>
        <v>#N/A</v>
      </c>
      <c r="AG11" t="e">
        <f t="shared" ref="AG11" si="95">IF(R25&lt;&gt;"",IF($F24="Higher the better",IF(R25&gt;=R24,R25,NA()),IF(R25&lt;=R24,R25,NA())),NA())</f>
        <v>#N/A</v>
      </c>
      <c r="AH11" t="e">
        <f t="shared" ref="AH11" si="96">IF(S25&lt;&gt;"",IF($F24="Higher the better",IF(S25&gt;=S24,S25,NA()),IF(S25&lt;=S24,S25,NA())),NA())</f>
        <v>#N/A</v>
      </c>
      <c r="AI11" t="e">
        <f t="shared" ref="AI11" si="97">IF(T25&lt;&gt;"",IF($F24="Higher the better",IF(T25&gt;=T24,T25,NA()),IF(T25&lt;=T24,T25,NA())),NA())</f>
        <v>#N/A</v>
      </c>
    </row>
    <row r="12" spans="1:35" ht="18.600000000000001">
      <c r="A12" s="31" t="s">
        <v>112</v>
      </c>
      <c r="G12" s="38"/>
      <c r="I12" s="43"/>
      <c r="J12" s="43"/>
      <c r="K12" s="43"/>
      <c r="L12" s="43"/>
      <c r="M12" s="43"/>
      <c r="N12" s="43"/>
      <c r="O12" s="43"/>
      <c r="P12" s="43"/>
      <c r="Q12" s="43"/>
      <c r="R12" s="43"/>
      <c r="S12" s="43"/>
      <c r="T12" s="43"/>
      <c r="W12" t="s">
        <v>91</v>
      </c>
      <c r="X12" t="e">
        <f t="shared" ref="X12" si="98">IF(I25&lt;&gt;"",IF($F24="Higher the better",IF(I25&lt;I24,I25,NA()),IF(I25&gt;I24,I25,NA())),NA())</f>
        <v>#N/A</v>
      </c>
      <c r="Y12" t="e">
        <f t="shared" ref="Y12" si="99">IF(J25&lt;&gt;"",IF($F24="Higher the better",IF(J25&lt;J24,J25,NA()),IF(J25&gt;J24,J25,NA())),NA())</f>
        <v>#N/A</v>
      </c>
      <c r="Z12">
        <f t="shared" ref="Z12" si="100">IF(K25&lt;&gt;"",IF($F24="Higher the better",IF(K25&lt;K24,K25,NA()),IF(K25&gt;K24,K25,NA())),NA())</f>
        <v>28</v>
      </c>
      <c r="AA12">
        <f t="shared" ref="AA12" si="101">IF(L25&lt;&gt;"",IF($F24="Higher the better",IF(L25&lt;L24,L25,NA()),IF(L25&gt;L24,L25,NA())),NA())</f>
        <v>16</v>
      </c>
      <c r="AB12">
        <f t="shared" ref="AB12" si="102">IF(M25&lt;&gt;"",IF($F24="Higher the better",IF(M25&lt;M24,M25,NA()),IF(M25&gt;M24,M25,NA())),NA())</f>
        <v>20</v>
      </c>
      <c r="AC12" t="e">
        <f t="shared" ref="AC12" si="103">IF(N25&lt;&gt;"",IF($F24="Higher the better",IF(N25&lt;N24,N25,NA()),IF(N25&gt;N24,N25,NA())),NA())</f>
        <v>#N/A</v>
      </c>
      <c r="AD12" t="e">
        <f t="shared" ref="AD12" si="104">IF(O25&lt;&gt;"",IF($F24="Higher the better",IF(O25&lt;O24,O25,NA()),IF(O25&gt;O24,O25,NA())),NA())</f>
        <v>#N/A</v>
      </c>
      <c r="AE12" t="e">
        <f t="shared" ref="AE12" si="105">IF(P25&lt;&gt;"",IF($F24="Higher the better",IF(P25&lt;P24,P25,NA()),IF(P25&gt;P24,P25,NA())),NA())</f>
        <v>#N/A</v>
      </c>
      <c r="AF12" t="e">
        <f t="shared" ref="AF12" si="106">IF(Q25&lt;&gt;"",IF($F24="Higher the better",IF(Q25&lt;Q24,Q25,NA()),IF(Q25&gt;Q24,Q25,NA())),NA())</f>
        <v>#N/A</v>
      </c>
      <c r="AG12" t="e">
        <f t="shared" ref="AG12" si="107">IF(R25&lt;&gt;"",IF($F24="Higher the better",IF(R25&lt;R24,R25,NA()),IF(R25&gt;R24,R25,NA())),NA())</f>
        <v>#N/A</v>
      </c>
      <c r="AH12" t="e">
        <f t="shared" ref="AH12" si="108">IF(S25&lt;&gt;"",IF($F24="Higher the better",IF(S25&lt;S24,S25,NA()),IF(S25&gt;S24,S25,NA())),NA())</f>
        <v>#N/A</v>
      </c>
      <c r="AI12" t="e">
        <f t="shared" ref="AI12" si="109">IF(T25&lt;&gt;"",IF($F24="Higher the better",IF(T25&lt;T24,T25,NA()),IF(T25&gt;T24,T25,NA())),NA())</f>
        <v>#N/A</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c r="W13" t="s">
        <v>90</v>
      </c>
      <c r="X13" t="e">
        <f>IF(#REF!&lt;&gt;"",IF(#REF!="Higher the better",IF(#REF!&gt;=#REF!,#REF!,NA()),IF(#REF!&lt;=#REF!,#REF!,NA())),NA())</f>
        <v>#REF!</v>
      </c>
      <c r="Y13" t="e">
        <f>IF(#REF!&lt;&gt;"",IF(#REF!="Higher the better",IF(#REF!&gt;=#REF!,#REF!,NA()),IF(#REF!&lt;=#REF!,#REF!,NA())),NA())</f>
        <v>#REF!</v>
      </c>
      <c r="Z13" t="e">
        <f>IF(#REF!&lt;&gt;"",IF(#REF!="Higher the better",IF(#REF!&gt;=#REF!,#REF!,NA()),IF(#REF!&lt;=#REF!,#REF!,NA())),NA())</f>
        <v>#REF!</v>
      </c>
      <c r="AA13" t="e">
        <f>IF(#REF!&lt;&gt;"",IF(#REF!="Higher the better",IF(#REF!&gt;=#REF!,#REF!,NA()),IF(#REF!&lt;=#REF!,#REF!,NA())),NA())</f>
        <v>#REF!</v>
      </c>
      <c r="AB13" t="e">
        <f>IF(#REF!&lt;&gt;"",IF(#REF!="Higher the better",IF(#REF!&gt;=#REF!,#REF!,NA()),IF(#REF!&lt;=#REF!,#REF!,NA())),NA())</f>
        <v>#REF!</v>
      </c>
      <c r="AC13" t="e">
        <f>IF(#REF!&lt;&gt;"",IF(#REF!="Higher the better",IF(#REF!&gt;=#REF!,#REF!,NA()),IF(#REF!&lt;=#REF!,#REF!,NA())),NA())</f>
        <v>#REF!</v>
      </c>
      <c r="AD13" t="e">
        <f>IF(#REF!&lt;&gt;"",IF(#REF!="Higher the better",IF(#REF!&gt;=#REF!,#REF!,NA()),IF(#REF!&lt;=#REF!,#REF!,NA())),NA())</f>
        <v>#REF!</v>
      </c>
      <c r="AE13" t="e">
        <f>IF(#REF!&lt;&gt;"",IF(#REF!="Higher the better",IF(#REF!&gt;=#REF!,#REF!,NA()),IF(#REF!&lt;=#REF!,#REF!,NA())),NA())</f>
        <v>#REF!</v>
      </c>
      <c r="AF13" t="e">
        <f>IF(#REF!&lt;&gt;"",IF(#REF!="Higher the better",IF(#REF!&gt;=#REF!,#REF!,NA()),IF(#REF!&lt;=#REF!,#REF!,NA())),NA())</f>
        <v>#REF!</v>
      </c>
      <c r="AG13" t="e">
        <f>IF(#REF!&lt;&gt;"",IF(#REF!="Higher the better",IF(#REF!&gt;=#REF!,#REF!,NA()),IF(#REF!&lt;=#REF!,#REF!,NA())),NA())</f>
        <v>#REF!</v>
      </c>
      <c r="AH13" t="e">
        <f>IF(#REF!&lt;&gt;"",IF(#REF!="Higher the better",IF(#REF!&gt;=#REF!,#REF!,NA()),IF(#REF!&lt;=#REF!,#REF!,NA())),NA())</f>
        <v>#REF!</v>
      </c>
      <c r="AI13" t="e">
        <f>IF(#REF!&lt;&gt;"",IF(#REF!="Higher the better",IF(#REF!&gt;=#REF!,#REF!,NA()),IF(#REF!&lt;=#REF!,#REF!,NA())),NA())</f>
        <v>#REF!</v>
      </c>
    </row>
    <row r="14" spans="1:35" ht="13.5" customHeight="1">
      <c r="A14" s="348" t="s">
        <v>254</v>
      </c>
      <c r="B14" s="348" t="s">
        <v>255</v>
      </c>
      <c r="C14" s="328" t="s">
        <v>115</v>
      </c>
      <c r="D14" s="437">
        <v>0.9</v>
      </c>
      <c r="E14" s="328" t="s">
        <v>98</v>
      </c>
      <c r="F14" s="336" t="s">
        <v>99</v>
      </c>
      <c r="G14" s="328" t="s">
        <v>55</v>
      </c>
      <c r="H14" s="14" t="s">
        <v>29</v>
      </c>
      <c r="I14" s="4">
        <v>0.9</v>
      </c>
      <c r="J14" s="4">
        <v>0.9</v>
      </c>
      <c r="K14" s="4">
        <v>0.9</v>
      </c>
      <c r="L14" s="4">
        <v>0.9</v>
      </c>
      <c r="M14" s="4">
        <v>0.9</v>
      </c>
      <c r="N14" s="4">
        <v>0.9</v>
      </c>
      <c r="O14" s="4">
        <v>0.9</v>
      </c>
      <c r="P14" s="4">
        <v>0.9</v>
      </c>
      <c r="Q14" s="4">
        <v>0.9</v>
      </c>
      <c r="R14" s="4">
        <v>0.9</v>
      </c>
      <c r="S14" s="4">
        <v>0.9</v>
      </c>
      <c r="T14" s="4">
        <v>0.9</v>
      </c>
      <c r="W14" t="s">
        <v>91</v>
      </c>
      <c r="X14" t="e">
        <f>IF(#REF!&lt;&gt;"",IF(#REF!="Higher the better",IF(#REF!&lt;#REF!,#REF!,NA()),IF(#REF!&gt;#REF!,#REF!,NA())),NA())</f>
        <v>#REF!</v>
      </c>
      <c r="Y14" t="e">
        <f>IF(#REF!&lt;&gt;"",IF(#REF!="Higher the better",IF(#REF!&lt;#REF!,#REF!,NA()),IF(#REF!&gt;#REF!,#REF!,NA())),NA())</f>
        <v>#REF!</v>
      </c>
      <c r="Z14" t="e">
        <f>IF(#REF!&lt;&gt;"",IF(#REF!="Higher the better",IF(#REF!&lt;#REF!,#REF!,NA()),IF(#REF!&gt;#REF!,#REF!,NA())),NA())</f>
        <v>#REF!</v>
      </c>
      <c r="AA14" t="e">
        <f>IF(#REF!&lt;&gt;"",IF(#REF!="Higher the better",IF(#REF!&lt;#REF!,#REF!,NA()),IF(#REF!&gt;#REF!,#REF!,NA())),NA())</f>
        <v>#REF!</v>
      </c>
      <c r="AB14" t="e">
        <f>IF(#REF!&lt;&gt;"",IF(#REF!="Higher the better",IF(#REF!&lt;#REF!,#REF!,NA()),IF(#REF!&gt;#REF!,#REF!,NA())),NA())</f>
        <v>#REF!</v>
      </c>
      <c r="AC14" t="e">
        <f>IF(#REF!&lt;&gt;"",IF(#REF!="Higher the better",IF(#REF!&lt;#REF!,#REF!,NA()),IF(#REF!&gt;#REF!,#REF!,NA())),NA())</f>
        <v>#REF!</v>
      </c>
      <c r="AD14" t="e">
        <f>IF(#REF!&lt;&gt;"",IF(#REF!="Higher the better",IF(#REF!&lt;#REF!,#REF!,NA()),IF(#REF!&gt;#REF!,#REF!,NA())),NA())</f>
        <v>#REF!</v>
      </c>
      <c r="AE14" t="e">
        <f>IF(#REF!&lt;&gt;"",IF(#REF!="Higher the better",IF(#REF!&lt;#REF!,#REF!,NA()),IF(#REF!&gt;#REF!,#REF!,NA())),NA())</f>
        <v>#REF!</v>
      </c>
      <c r="AF14" t="e">
        <f>IF(#REF!&lt;&gt;"",IF(#REF!="Higher the better",IF(#REF!&lt;#REF!,#REF!,NA()),IF(#REF!&gt;#REF!,#REF!,NA())),NA())</f>
        <v>#REF!</v>
      </c>
      <c r="AG14" t="e">
        <f>IF(#REF!&lt;&gt;"",IF(#REF!="Higher the better",IF(#REF!&lt;#REF!,#REF!,NA()),IF(#REF!&gt;#REF!,#REF!,NA())),NA())</f>
        <v>#REF!</v>
      </c>
      <c r="AH14" t="e">
        <f>IF(#REF!&lt;&gt;"",IF(#REF!="Higher the better",IF(#REF!&lt;#REF!,#REF!,NA()),IF(#REF!&gt;#REF!,#REF!,NA())),NA())</f>
        <v>#REF!</v>
      </c>
      <c r="AI14" t="e">
        <f>IF(#REF!&lt;&gt;"",IF(#REF!="Higher the better",IF(#REF!&lt;#REF!,#REF!,NA()),IF(#REF!&gt;#REF!,#REF!,NA())),NA())</f>
        <v>#REF!</v>
      </c>
    </row>
    <row r="15" spans="1:35" ht="14.85" customHeight="1">
      <c r="A15" s="349"/>
      <c r="B15" s="344"/>
      <c r="C15" s="329"/>
      <c r="D15" s="329"/>
      <c r="E15" s="329"/>
      <c r="F15" s="333"/>
      <c r="G15" s="329"/>
      <c r="H15" s="14" t="s">
        <v>30</v>
      </c>
      <c r="I15" s="5">
        <v>0.91</v>
      </c>
      <c r="J15" s="5">
        <v>0.96</v>
      </c>
      <c r="K15" s="5">
        <v>0.66</v>
      </c>
      <c r="L15" s="5">
        <v>0.73</v>
      </c>
      <c r="M15" s="5">
        <v>0.71</v>
      </c>
      <c r="N15" s="5">
        <v>0.95</v>
      </c>
      <c r="O15" s="5">
        <v>0.92</v>
      </c>
      <c r="P15" s="5"/>
      <c r="Q15" s="5"/>
      <c r="R15" s="5"/>
      <c r="S15" s="5"/>
      <c r="T15" s="5"/>
      <c r="W15" t="s">
        <v>90</v>
      </c>
      <c r="X15" t="e">
        <f>IF(#REF!&lt;&gt;"",IF(#REF!="Higher the better",IF(#REF!&gt;=#REF!,#REF!,NA()),IF(#REF!&lt;=#REF!,#REF!,NA())),NA())</f>
        <v>#REF!</v>
      </c>
      <c r="Y15" t="e">
        <f>IF(#REF!&lt;&gt;"",IF(#REF!="Higher the better",IF(#REF!&gt;=#REF!,#REF!,NA()),IF(#REF!&lt;=#REF!,#REF!,NA())),NA())</f>
        <v>#REF!</v>
      </c>
      <c r="Z15" t="e">
        <f>IF(#REF!&lt;&gt;"",IF(#REF!="Higher the better",IF(#REF!&gt;=#REF!,#REF!,NA()),IF(#REF!&lt;=#REF!,#REF!,NA())),NA())</f>
        <v>#REF!</v>
      </c>
      <c r="AA15" t="e">
        <f>IF(#REF!&lt;&gt;"",IF(#REF!="Higher the better",IF(#REF!&gt;=#REF!,#REF!,NA()),IF(#REF!&lt;=#REF!,#REF!,NA())),NA())</f>
        <v>#REF!</v>
      </c>
      <c r="AB15" t="e">
        <f>IF(#REF!&lt;&gt;"",IF(#REF!="Higher the better",IF(#REF!&gt;=#REF!,#REF!,NA()),IF(#REF!&lt;=#REF!,#REF!,NA())),NA())</f>
        <v>#REF!</v>
      </c>
      <c r="AC15" t="e">
        <f>IF(#REF!&lt;&gt;"",IF(#REF!="Higher the better",IF(#REF!&gt;=#REF!,#REF!,NA()),IF(#REF!&lt;=#REF!,#REF!,NA())),NA())</f>
        <v>#REF!</v>
      </c>
      <c r="AD15" t="e">
        <f>IF(#REF!&lt;&gt;"",IF(#REF!="Higher the better",IF(#REF!&gt;=#REF!,#REF!,NA()),IF(#REF!&lt;=#REF!,#REF!,NA())),NA())</f>
        <v>#REF!</v>
      </c>
      <c r="AE15" t="e">
        <f>IF(#REF!&lt;&gt;"",IF(#REF!="Higher the better",IF(#REF!&gt;=#REF!,#REF!,NA()),IF(#REF!&lt;=#REF!,#REF!,NA())),NA())</f>
        <v>#REF!</v>
      </c>
      <c r="AF15" t="e">
        <f>IF(#REF!&lt;&gt;"",IF(#REF!="Higher the better",IF(#REF!&gt;=#REF!,#REF!,NA()),IF(#REF!&lt;=#REF!,#REF!,NA())),NA())</f>
        <v>#REF!</v>
      </c>
      <c r="AG15" t="e">
        <f>IF(#REF!&lt;&gt;"",IF(#REF!="Higher the better",IF(#REF!&gt;=#REF!,#REF!,NA()),IF(#REF!&lt;=#REF!,#REF!,NA())),NA())</f>
        <v>#REF!</v>
      </c>
      <c r="AH15" t="e">
        <f>IF(#REF!&lt;&gt;"",IF(#REF!="Higher the better",IF(#REF!&gt;=#REF!,#REF!,NA()),IF(#REF!&lt;=#REF!,#REF!,NA())),NA())</f>
        <v>#REF!</v>
      </c>
      <c r="AI15" t="e">
        <f>IF(#REF!&lt;&gt;"",IF(#REF!="Higher the better",IF(#REF!&gt;=#REF!,#REF!,NA()),IF(#REF!&lt;=#REF!,#REF!,NA())),NA())</f>
        <v>#REF!</v>
      </c>
    </row>
    <row r="16" spans="1:35">
      <c r="A16" s="348" t="s">
        <v>256</v>
      </c>
      <c r="B16" s="348" t="s">
        <v>257</v>
      </c>
      <c r="C16" s="328" t="s">
        <v>115</v>
      </c>
      <c r="D16" s="336" t="s">
        <v>258</v>
      </c>
      <c r="E16" s="328" t="s">
        <v>54</v>
      </c>
      <c r="F16" s="336" t="s">
        <v>99</v>
      </c>
      <c r="G16" s="328" t="s">
        <v>55</v>
      </c>
      <c r="H16" s="14" t="s">
        <v>29</v>
      </c>
      <c r="I16" s="44"/>
      <c r="J16" s="44">
        <v>118</v>
      </c>
      <c r="K16" s="44">
        <v>124</v>
      </c>
      <c r="L16" s="44">
        <v>129</v>
      </c>
      <c r="M16" s="44">
        <v>132</v>
      </c>
      <c r="N16" s="44">
        <v>130</v>
      </c>
      <c r="O16" s="44">
        <v>125</v>
      </c>
      <c r="P16" s="44">
        <v>125</v>
      </c>
      <c r="Q16" s="44">
        <v>123</v>
      </c>
      <c r="R16" s="44">
        <v>123</v>
      </c>
      <c r="S16" s="44">
        <v>121</v>
      </c>
      <c r="T16" s="44">
        <v>79</v>
      </c>
      <c r="W16" t="s">
        <v>91</v>
      </c>
      <c r="X16" t="e">
        <f>IF(#REF!&lt;&gt;"",IF(#REF!="Higher the better",IF(#REF!&lt;#REF!,#REF!,NA()),IF(#REF!&gt;#REF!,#REF!,NA())),NA())</f>
        <v>#REF!</v>
      </c>
      <c r="Y16" t="e">
        <f>IF(#REF!&lt;&gt;"",IF(#REF!="Higher the better",IF(#REF!&lt;#REF!,#REF!,NA()),IF(#REF!&gt;#REF!,#REF!,NA())),NA())</f>
        <v>#REF!</v>
      </c>
      <c r="Z16" t="e">
        <f>IF(#REF!&lt;&gt;"",IF(#REF!="Higher the better",IF(#REF!&lt;#REF!,#REF!,NA()),IF(#REF!&gt;#REF!,#REF!,NA())),NA())</f>
        <v>#REF!</v>
      </c>
      <c r="AA16" t="e">
        <f>IF(#REF!&lt;&gt;"",IF(#REF!="Higher the better",IF(#REF!&lt;#REF!,#REF!,NA()),IF(#REF!&gt;#REF!,#REF!,NA())),NA())</f>
        <v>#REF!</v>
      </c>
      <c r="AB16" t="e">
        <f>IF(#REF!&lt;&gt;"",IF(#REF!="Higher the better",IF(#REF!&lt;#REF!,#REF!,NA()),IF(#REF!&gt;#REF!,#REF!,NA())),NA())</f>
        <v>#REF!</v>
      </c>
      <c r="AC16" t="e">
        <f>IF(#REF!&lt;&gt;"",IF(#REF!="Higher the better",IF(#REF!&lt;#REF!,#REF!,NA()),IF(#REF!&gt;#REF!,#REF!,NA())),NA())</f>
        <v>#REF!</v>
      </c>
      <c r="AD16" t="e">
        <f>IF(#REF!&lt;&gt;"",IF(#REF!="Higher the better",IF(#REF!&lt;#REF!,#REF!,NA()),IF(#REF!&gt;#REF!,#REF!,NA())),NA())</f>
        <v>#REF!</v>
      </c>
      <c r="AE16" t="e">
        <f>IF(#REF!&lt;&gt;"",IF(#REF!="Higher the better",IF(#REF!&lt;#REF!,#REF!,NA()),IF(#REF!&gt;#REF!,#REF!,NA())),NA())</f>
        <v>#REF!</v>
      </c>
      <c r="AF16" t="e">
        <f>IF(#REF!&lt;&gt;"",IF(#REF!="Higher the better",IF(#REF!&lt;#REF!,#REF!,NA()),IF(#REF!&gt;#REF!,#REF!,NA())),NA())</f>
        <v>#REF!</v>
      </c>
      <c r="AG16" t="e">
        <f>IF(#REF!&lt;&gt;"",IF(#REF!="Higher the better",IF(#REF!&lt;#REF!,#REF!,NA()),IF(#REF!&gt;#REF!,#REF!,NA())),NA())</f>
        <v>#REF!</v>
      </c>
      <c r="AH16" t="e">
        <f>IF(#REF!&lt;&gt;"",IF(#REF!="Higher the better",IF(#REF!&lt;#REF!,#REF!,NA()),IF(#REF!&gt;#REF!,#REF!,NA())),NA())</f>
        <v>#REF!</v>
      </c>
      <c r="AI16" t="e">
        <f>IF(#REF!&lt;&gt;"",IF(#REF!="Higher the better",IF(#REF!&lt;#REF!,#REF!,NA()),IF(#REF!&gt;#REF!,#REF!,NA())),NA())</f>
        <v>#REF!</v>
      </c>
    </row>
    <row r="17" spans="1:20">
      <c r="A17" s="349"/>
      <c r="B17" s="344"/>
      <c r="C17" s="329"/>
      <c r="D17" s="333"/>
      <c r="E17" s="329"/>
      <c r="F17" s="333"/>
      <c r="G17" s="329"/>
      <c r="H17" s="14" t="s">
        <v>30</v>
      </c>
      <c r="I17" s="45">
        <v>113</v>
      </c>
      <c r="J17" s="45">
        <v>119</v>
      </c>
      <c r="K17" s="45">
        <v>111</v>
      </c>
      <c r="L17" s="45">
        <v>89</v>
      </c>
      <c r="M17" s="45">
        <v>113</v>
      </c>
      <c r="N17" s="45">
        <v>109</v>
      </c>
      <c r="O17" s="45">
        <v>116</v>
      </c>
      <c r="P17" s="45"/>
      <c r="Q17" s="45"/>
      <c r="R17" s="45"/>
      <c r="S17" s="45"/>
      <c r="T17" s="45"/>
    </row>
    <row r="18" spans="1:20" ht="14.85" customHeight="1">
      <c r="A18" s="348" t="s">
        <v>259</v>
      </c>
      <c r="B18" s="354" t="s">
        <v>260</v>
      </c>
      <c r="C18" s="328" t="s">
        <v>115</v>
      </c>
      <c r="D18" s="363">
        <v>0.9</v>
      </c>
      <c r="E18" s="328" t="s">
        <v>98</v>
      </c>
      <c r="F18" s="336" t="s">
        <v>99</v>
      </c>
      <c r="G18" s="328" t="s">
        <v>55</v>
      </c>
      <c r="H18" s="14" t="s">
        <v>29</v>
      </c>
      <c r="I18" s="4">
        <v>0.85</v>
      </c>
      <c r="J18" s="4">
        <v>0.87</v>
      </c>
      <c r="K18" s="4">
        <v>0.9</v>
      </c>
      <c r="L18" s="4">
        <v>0.9</v>
      </c>
      <c r="M18" s="4">
        <v>0.9</v>
      </c>
      <c r="N18" s="4">
        <v>0.9</v>
      </c>
      <c r="O18" s="4">
        <v>0.9</v>
      </c>
      <c r="P18" s="4">
        <v>0.9</v>
      </c>
      <c r="Q18" s="4">
        <v>0.92</v>
      </c>
      <c r="R18" s="4">
        <v>0.92</v>
      </c>
      <c r="S18" s="4">
        <v>0.92</v>
      </c>
      <c r="T18" s="4">
        <v>0.92</v>
      </c>
    </row>
    <row r="19" spans="1:20">
      <c r="A19" s="344"/>
      <c r="B19" s="344"/>
      <c r="C19" s="329"/>
      <c r="D19" s="329"/>
      <c r="E19" s="329"/>
      <c r="F19" s="333"/>
      <c r="G19" s="329"/>
      <c r="H19" s="14" t="s">
        <v>30</v>
      </c>
      <c r="I19" s="5">
        <v>0.93</v>
      </c>
      <c r="J19" s="5">
        <v>0.89</v>
      </c>
      <c r="K19" s="5">
        <v>0.88</v>
      </c>
      <c r="L19" s="5">
        <v>0.84</v>
      </c>
      <c r="M19" s="5">
        <v>0.93</v>
      </c>
      <c r="N19" s="5">
        <v>0.93</v>
      </c>
      <c r="O19" s="5">
        <v>0.92</v>
      </c>
      <c r="P19" s="5">
        <v>0.96</v>
      </c>
      <c r="Q19" s="5"/>
      <c r="R19" s="5"/>
      <c r="S19" s="5"/>
      <c r="T19" s="5"/>
    </row>
    <row r="20" spans="1:20">
      <c r="A20" s="348" t="s">
        <v>261</v>
      </c>
      <c r="B20" s="354" t="s">
        <v>262</v>
      </c>
      <c r="C20" s="328" t="s">
        <v>115</v>
      </c>
      <c r="D20" s="336" t="s">
        <v>98</v>
      </c>
      <c r="E20" s="328" t="s">
        <v>98</v>
      </c>
      <c r="F20" s="336" t="s">
        <v>99</v>
      </c>
      <c r="G20" s="328" t="s">
        <v>55</v>
      </c>
      <c r="H20" s="14" t="s">
        <v>29</v>
      </c>
      <c r="I20" s="4">
        <v>0.8</v>
      </c>
      <c r="J20" s="4">
        <v>0.9</v>
      </c>
      <c r="K20" s="4">
        <v>0.95</v>
      </c>
      <c r="L20" s="4">
        <v>0.8</v>
      </c>
      <c r="M20" s="4">
        <v>0.9</v>
      </c>
      <c r="N20" s="4">
        <v>0.95</v>
      </c>
      <c r="O20" s="4">
        <v>0.8</v>
      </c>
      <c r="P20" s="4">
        <v>0.95</v>
      </c>
      <c r="Q20" s="4">
        <v>1</v>
      </c>
      <c r="R20" s="44"/>
      <c r="S20" s="44"/>
      <c r="T20" s="44"/>
    </row>
    <row r="21" spans="1:20">
      <c r="A21" s="344"/>
      <c r="B21" s="344"/>
      <c r="C21" s="474"/>
      <c r="D21" s="474"/>
      <c r="E21" s="474"/>
      <c r="F21" s="475"/>
      <c r="G21" s="474"/>
      <c r="H21" s="14" t="s">
        <v>30</v>
      </c>
      <c r="I21" s="5">
        <v>0.8</v>
      </c>
      <c r="J21" s="5">
        <v>0.9</v>
      </c>
      <c r="K21" s="5">
        <v>1.02</v>
      </c>
      <c r="L21" s="5">
        <v>0.6</v>
      </c>
      <c r="M21" s="5">
        <v>0.72</v>
      </c>
      <c r="N21" s="5">
        <v>0.81</v>
      </c>
      <c r="O21" s="5">
        <v>0.56000000000000005</v>
      </c>
      <c r="P21" s="5">
        <v>0.71</v>
      </c>
      <c r="Q21" s="179"/>
      <c r="R21" s="179"/>
      <c r="S21" s="179"/>
      <c r="T21" s="179"/>
    </row>
    <row r="22" spans="1:20">
      <c r="A22" s="348" t="s">
        <v>263</v>
      </c>
      <c r="B22" s="354" t="s">
        <v>264</v>
      </c>
      <c r="C22" s="328" t="s">
        <v>252</v>
      </c>
      <c r="D22" s="336" t="s">
        <v>265</v>
      </c>
      <c r="E22" s="328" t="s">
        <v>247</v>
      </c>
      <c r="F22" s="336" t="s">
        <v>104</v>
      </c>
      <c r="G22" s="328" t="s">
        <v>55</v>
      </c>
      <c r="H22" s="14" t="s">
        <v>29</v>
      </c>
      <c r="I22" s="48">
        <v>11.540479330384791</v>
      </c>
      <c r="J22" s="48">
        <v>13.98559311072262</v>
      </c>
      <c r="K22" s="48">
        <v>14.900208214760385</v>
      </c>
      <c r="L22" s="48">
        <v>15.546561399682577</v>
      </c>
      <c r="M22" s="48">
        <v>12.923735121949836</v>
      </c>
      <c r="N22" s="48">
        <v>13.018237711231944</v>
      </c>
      <c r="O22" s="48">
        <v>11.3455024479378</v>
      </c>
      <c r="P22" s="48">
        <v>11.432870041027915</v>
      </c>
      <c r="Q22" s="48">
        <v>14.888579668012852</v>
      </c>
      <c r="R22" s="48">
        <v>13.436984883293293</v>
      </c>
      <c r="S22" s="48">
        <v>15.144875252863704</v>
      </c>
      <c r="T22" s="48">
        <v>9.5717962887609644</v>
      </c>
    </row>
    <row r="23" spans="1:20" ht="15.6" customHeight="1">
      <c r="A23" s="436"/>
      <c r="B23" s="436"/>
      <c r="C23" s="473"/>
      <c r="D23" s="473"/>
      <c r="E23" s="473"/>
      <c r="F23" s="480"/>
      <c r="G23" s="473"/>
      <c r="H23" s="14" t="s">
        <v>30</v>
      </c>
      <c r="I23" s="45">
        <v>17.3</v>
      </c>
      <c r="J23" s="45">
        <v>21.89</v>
      </c>
      <c r="K23" s="45">
        <v>21.44</v>
      </c>
      <c r="L23" s="45">
        <v>24.02</v>
      </c>
      <c r="M23" s="45">
        <v>24.1</v>
      </c>
      <c r="N23" s="45">
        <v>22.5</v>
      </c>
      <c r="O23" s="45">
        <v>23</v>
      </c>
      <c r="P23" s="45"/>
      <c r="Q23" s="45"/>
      <c r="R23" s="45"/>
      <c r="S23" s="45"/>
      <c r="T23" s="45"/>
    </row>
    <row r="24" spans="1:20">
      <c r="A24" s="476" t="s">
        <v>266</v>
      </c>
      <c r="B24" s="348" t="s">
        <v>267</v>
      </c>
      <c r="C24" s="328" t="s">
        <v>102</v>
      </c>
      <c r="D24" s="478">
        <v>15</v>
      </c>
      <c r="E24" s="328" t="s">
        <v>54</v>
      </c>
      <c r="F24" s="336" t="s">
        <v>104</v>
      </c>
      <c r="G24" s="328" t="s">
        <v>55</v>
      </c>
      <c r="H24" s="14" t="s">
        <v>29</v>
      </c>
      <c r="I24" s="44">
        <v>15</v>
      </c>
      <c r="J24" s="44">
        <v>15</v>
      </c>
      <c r="K24" s="44">
        <v>15</v>
      </c>
      <c r="L24" s="44">
        <v>15</v>
      </c>
      <c r="M24" s="44">
        <v>15</v>
      </c>
      <c r="N24" s="44">
        <v>15</v>
      </c>
      <c r="O24" s="44">
        <v>15</v>
      </c>
      <c r="P24" s="44">
        <v>15</v>
      </c>
      <c r="Q24" s="44">
        <v>15</v>
      </c>
      <c r="R24" s="44">
        <v>15</v>
      </c>
      <c r="S24" s="44">
        <v>15</v>
      </c>
      <c r="T24" s="44">
        <v>15</v>
      </c>
    </row>
    <row r="25" spans="1:20" ht="13.5" customHeight="1">
      <c r="A25" s="477"/>
      <c r="B25" s="344"/>
      <c r="C25" s="329"/>
      <c r="D25" s="479"/>
      <c r="E25" s="329"/>
      <c r="F25" s="333"/>
      <c r="G25" s="329"/>
      <c r="H25" s="14" t="s">
        <v>30</v>
      </c>
      <c r="I25" s="45">
        <v>7</v>
      </c>
      <c r="J25" s="45">
        <v>8</v>
      </c>
      <c r="K25" s="45">
        <f>0+0+14+11+3</f>
        <v>28</v>
      </c>
      <c r="L25" s="45">
        <v>16</v>
      </c>
      <c r="M25" s="45">
        <v>20</v>
      </c>
      <c r="N25" s="45">
        <v>9</v>
      </c>
      <c r="O25" s="45">
        <v>13</v>
      </c>
      <c r="P25" s="45"/>
      <c r="Q25" s="45"/>
      <c r="R25" s="45"/>
      <c r="S25" s="45"/>
      <c r="T25" s="45"/>
    </row>
    <row r="26" spans="1:20" ht="21">
      <c r="A26" s="347" t="s">
        <v>268</v>
      </c>
      <c r="B26" s="347"/>
      <c r="C26" s="347"/>
    </row>
    <row r="27" spans="1:20" ht="20.85" customHeight="1">
      <c r="A27" s="11" t="s">
        <v>93</v>
      </c>
      <c r="B27" s="11"/>
    </row>
    <row r="28" spans="1:20" ht="29.1" customHeight="1">
      <c r="A28" s="26" t="s">
        <v>202</v>
      </c>
      <c r="B28" s="26" t="s">
        <v>59</v>
      </c>
      <c r="C28" s="26" t="s">
        <v>5</v>
      </c>
      <c r="D28" s="26" t="s">
        <v>60</v>
      </c>
      <c r="E28" s="26" t="s">
        <v>7</v>
      </c>
      <c r="F28" s="26" t="s">
        <v>61</v>
      </c>
      <c r="G28" s="26" t="s">
        <v>9</v>
      </c>
      <c r="H28" s="26" t="s">
        <v>62</v>
      </c>
      <c r="I28" s="29">
        <v>46023</v>
      </c>
      <c r="J28" s="29">
        <v>46054</v>
      </c>
      <c r="K28" s="29">
        <v>46082</v>
      </c>
      <c r="L28" s="29">
        <v>46113</v>
      </c>
      <c r="M28" s="29">
        <v>46143</v>
      </c>
      <c r="N28" s="29">
        <v>46174</v>
      </c>
      <c r="O28" s="29">
        <v>46204</v>
      </c>
      <c r="P28" s="29">
        <v>46235</v>
      </c>
      <c r="Q28" s="29">
        <v>46266</v>
      </c>
      <c r="R28" s="29">
        <v>46296</v>
      </c>
      <c r="S28" s="29">
        <v>46327</v>
      </c>
      <c r="T28" s="29">
        <v>46357</v>
      </c>
    </row>
    <row r="29" spans="1:20">
      <c r="A29" s="348" t="s">
        <v>269</v>
      </c>
      <c r="B29" s="343" t="s">
        <v>270</v>
      </c>
      <c r="C29" s="328" t="s">
        <v>97</v>
      </c>
      <c r="D29" s="363">
        <v>0.2</v>
      </c>
      <c r="E29" s="328" t="s">
        <v>98</v>
      </c>
      <c r="F29" s="336" t="s">
        <v>104</v>
      </c>
      <c r="G29" s="328" t="s">
        <v>55</v>
      </c>
      <c r="H29" s="14" t="s">
        <v>271</v>
      </c>
      <c r="I29" s="47">
        <v>15</v>
      </c>
      <c r="J29" s="47">
        <v>15</v>
      </c>
      <c r="K29" s="47">
        <v>15</v>
      </c>
      <c r="L29" s="47">
        <v>15</v>
      </c>
      <c r="M29" s="47">
        <v>15</v>
      </c>
      <c r="N29" s="47">
        <v>15</v>
      </c>
      <c r="O29" s="47">
        <v>15</v>
      </c>
      <c r="P29" s="47">
        <v>15</v>
      </c>
      <c r="Q29" s="47">
        <v>15</v>
      </c>
      <c r="R29" s="47">
        <v>15</v>
      </c>
      <c r="S29" s="47">
        <v>15</v>
      </c>
      <c r="T29" s="47">
        <v>15</v>
      </c>
    </row>
    <row r="30" spans="1:20">
      <c r="A30" s="349"/>
      <c r="B30" s="382"/>
      <c r="C30" s="329"/>
      <c r="D30" s="468"/>
      <c r="E30" s="329"/>
      <c r="F30" s="333"/>
      <c r="G30" s="329"/>
      <c r="H30" s="14" t="s">
        <v>30</v>
      </c>
      <c r="I30" s="45">
        <v>11</v>
      </c>
      <c r="J30" s="45">
        <v>11</v>
      </c>
      <c r="K30" s="45">
        <v>14</v>
      </c>
      <c r="L30" s="45">
        <v>11</v>
      </c>
      <c r="M30" s="45">
        <v>9</v>
      </c>
      <c r="N30" s="45">
        <v>9</v>
      </c>
      <c r="O30" s="45">
        <v>11</v>
      </c>
      <c r="P30" s="45"/>
      <c r="Q30" s="45"/>
      <c r="R30" s="45"/>
      <c r="S30" s="45"/>
      <c r="T30" s="45"/>
    </row>
    <row r="31" spans="1:20">
      <c r="A31" s="348" t="s">
        <v>272</v>
      </c>
      <c r="B31" s="354" t="s">
        <v>273</v>
      </c>
      <c r="C31" s="328" t="s">
        <v>97</v>
      </c>
      <c r="D31" s="437">
        <v>0.9</v>
      </c>
      <c r="E31" s="328" t="s">
        <v>98</v>
      </c>
      <c r="F31" s="336" t="s">
        <v>99</v>
      </c>
      <c r="G31" s="328" t="s">
        <v>55</v>
      </c>
      <c r="H31" s="14" t="s">
        <v>29</v>
      </c>
      <c r="I31" s="4">
        <v>0.9</v>
      </c>
      <c r="J31" s="4">
        <v>0.9</v>
      </c>
      <c r="K31" s="4">
        <v>0.9</v>
      </c>
      <c r="L31" s="4">
        <v>0.9</v>
      </c>
      <c r="M31" s="4">
        <v>0.9</v>
      </c>
      <c r="N31" s="4">
        <v>0.9</v>
      </c>
      <c r="O31" s="4">
        <v>0.9</v>
      </c>
      <c r="P31" s="4">
        <v>0.9</v>
      </c>
      <c r="Q31" s="4">
        <v>0.9</v>
      </c>
      <c r="R31" s="4">
        <v>0.9</v>
      </c>
      <c r="S31" s="4">
        <v>0.9</v>
      </c>
      <c r="T31" s="4">
        <v>0.9</v>
      </c>
    </row>
    <row r="32" spans="1:20">
      <c r="A32" s="349"/>
      <c r="B32" s="467"/>
      <c r="C32" s="329"/>
      <c r="D32" s="481"/>
      <c r="E32" s="329"/>
      <c r="F32" s="333"/>
      <c r="G32" s="329"/>
      <c r="H32" s="14" t="s">
        <v>30</v>
      </c>
      <c r="I32" s="5">
        <v>1</v>
      </c>
      <c r="J32" s="5">
        <v>1</v>
      </c>
      <c r="K32" s="5">
        <v>1</v>
      </c>
      <c r="L32" s="5">
        <v>1</v>
      </c>
      <c r="M32" s="5">
        <v>1</v>
      </c>
      <c r="N32" s="5">
        <v>1</v>
      </c>
      <c r="O32" s="5">
        <v>1</v>
      </c>
      <c r="P32" s="5"/>
      <c r="Q32" s="5"/>
      <c r="R32" s="5"/>
      <c r="S32" s="5"/>
      <c r="T32" s="5"/>
    </row>
    <row r="33" spans="1:20">
      <c r="A33" s="348" t="s">
        <v>272</v>
      </c>
      <c r="B33" s="350" t="s">
        <v>274</v>
      </c>
      <c r="C33" s="328" t="s">
        <v>97</v>
      </c>
      <c r="D33" s="437">
        <v>0.95</v>
      </c>
      <c r="E33" s="328" t="s">
        <v>98</v>
      </c>
      <c r="F33" s="336" t="s">
        <v>99</v>
      </c>
      <c r="G33" s="328" t="s">
        <v>55</v>
      </c>
      <c r="H33" s="14" t="s">
        <v>29</v>
      </c>
      <c r="I33" s="4">
        <v>0.95</v>
      </c>
      <c r="J33" s="4">
        <v>0.95</v>
      </c>
      <c r="K33" s="4">
        <v>0.95</v>
      </c>
      <c r="L33" s="4">
        <v>0.95</v>
      </c>
      <c r="M33" s="4">
        <v>0.95</v>
      </c>
      <c r="N33" s="4">
        <v>0.95</v>
      </c>
      <c r="O33" s="4">
        <v>0.95</v>
      </c>
      <c r="P33" s="4">
        <v>0.95</v>
      </c>
      <c r="Q33" s="4">
        <v>0.95</v>
      </c>
      <c r="R33" s="4">
        <v>0.95</v>
      </c>
      <c r="S33" s="4">
        <v>0.95</v>
      </c>
      <c r="T33" s="4">
        <v>0.95</v>
      </c>
    </row>
    <row r="34" spans="1:20">
      <c r="A34" s="349"/>
      <c r="B34" s="344"/>
      <c r="C34" s="329"/>
      <c r="D34" s="481"/>
      <c r="E34" s="329"/>
      <c r="F34" s="333"/>
      <c r="G34" s="329"/>
      <c r="H34" s="14" t="s">
        <v>30</v>
      </c>
      <c r="I34" s="5">
        <v>0.71</v>
      </c>
      <c r="J34" s="5">
        <v>0.74</v>
      </c>
      <c r="K34" s="5">
        <v>1</v>
      </c>
      <c r="L34" s="5">
        <v>1</v>
      </c>
      <c r="M34" s="5">
        <v>1</v>
      </c>
      <c r="N34" s="5">
        <v>1</v>
      </c>
      <c r="O34" s="5">
        <v>1</v>
      </c>
      <c r="P34" s="5"/>
      <c r="Q34" s="5"/>
      <c r="R34" s="5"/>
      <c r="S34" s="5"/>
      <c r="T34" s="5"/>
    </row>
    <row r="35" spans="1:20">
      <c r="A35" s="348" t="s">
        <v>275</v>
      </c>
      <c r="B35" s="354" t="s">
        <v>276</v>
      </c>
      <c r="C35" s="328" t="s">
        <v>97</v>
      </c>
      <c r="D35" s="437">
        <v>1</v>
      </c>
      <c r="E35" s="328" t="s">
        <v>98</v>
      </c>
      <c r="F35" s="336" t="s">
        <v>99</v>
      </c>
      <c r="G35" s="328" t="s">
        <v>55</v>
      </c>
      <c r="H35" s="14" t="s">
        <v>29</v>
      </c>
      <c r="I35" s="4">
        <v>1</v>
      </c>
      <c r="J35" s="4">
        <v>1</v>
      </c>
      <c r="K35" s="4">
        <v>1</v>
      </c>
      <c r="L35" s="4">
        <v>1</v>
      </c>
      <c r="M35" s="4">
        <v>1</v>
      </c>
      <c r="N35" s="4">
        <v>1</v>
      </c>
      <c r="O35" s="4">
        <v>1</v>
      </c>
      <c r="P35" s="4">
        <v>1</v>
      </c>
      <c r="Q35" s="4">
        <v>1</v>
      </c>
      <c r="R35" s="4">
        <v>1</v>
      </c>
      <c r="S35" s="4">
        <v>1</v>
      </c>
      <c r="T35" s="4">
        <v>1</v>
      </c>
    </row>
    <row r="36" spans="1:20" ht="20.100000000000001" customHeight="1">
      <c r="A36" s="349"/>
      <c r="B36" s="467"/>
      <c r="C36" s="329"/>
      <c r="D36" s="481"/>
      <c r="E36" s="329"/>
      <c r="F36" s="333"/>
      <c r="G36" s="329"/>
      <c r="H36" s="14" t="s">
        <v>30</v>
      </c>
      <c r="I36" s="5">
        <v>1</v>
      </c>
      <c r="J36" s="5">
        <v>1</v>
      </c>
      <c r="K36" s="5">
        <v>1</v>
      </c>
      <c r="L36" s="5">
        <v>1</v>
      </c>
      <c r="M36" s="5">
        <v>1</v>
      </c>
      <c r="N36" s="5">
        <v>1</v>
      </c>
      <c r="O36" s="5">
        <v>1</v>
      </c>
      <c r="P36" s="5"/>
      <c r="Q36" s="5"/>
      <c r="R36" s="5"/>
      <c r="S36" s="5"/>
      <c r="T36" s="5"/>
    </row>
    <row r="37" spans="1:20" ht="20.100000000000001" customHeight="1">
      <c r="A37" s="608" t="s">
        <v>277</v>
      </c>
      <c r="B37" s="343" t="s">
        <v>278</v>
      </c>
      <c r="C37" s="482" t="s">
        <v>252</v>
      </c>
      <c r="D37" s="485">
        <v>0.03</v>
      </c>
      <c r="E37" s="328" t="s">
        <v>54</v>
      </c>
      <c r="F37" s="336" t="s">
        <v>104</v>
      </c>
      <c r="G37" s="328" t="s">
        <v>55</v>
      </c>
      <c r="H37" s="134" t="s">
        <v>29</v>
      </c>
      <c r="I37" s="214">
        <v>0.03</v>
      </c>
      <c r="J37" s="214">
        <v>0.03</v>
      </c>
      <c r="K37" s="135">
        <v>0.03</v>
      </c>
      <c r="L37" s="135">
        <v>0.03</v>
      </c>
      <c r="M37" s="135">
        <v>0.03</v>
      </c>
      <c r="N37" s="135">
        <v>0.03</v>
      </c>
      <c r="O37" s="135">
        <v>0.03</v>
      </c>
      <c r="P37" s="135"/>
      <c r="Q37" s="135"/>
      <c r="R37" s="135"/>
      <c r="S37" s="135"/>
      <c r="T37" s="135"/>
    </row>
    <row r="38" spans="1:20" ht="20.100000000000001" customHeight="1">
      <c r="A38" s="609"/>
      <c r="B38" s="382"/>
      <c r="C38" s="483"/>
      <c r="D38" s="486"/>
      <c r="E38" s="329"/>
      <c r="F38" s="333"/>
      <c r="G38" s="329"/>
      <c r="H38" s="111" t="s">
        <v>30</v>
      </c>
      <c r="I38" s="129">
        <v>0.03</v>
      </c>
      <c r="J38" s="129">
        <v>0.04</v>
      </c>
      <c r="K38" s="227">
        <v>6.0000000000000001E-3</v>
      </c>
      <c r="L38" s="227">
        <v>0</v>
      </c>
      <c r="M38" s="289">
        <v>0.02</v>
      </c>
      <c r="N38" s="289">
        <v>1.2999999999999999E-2</v>
      </c>
      <c r="O38" s="129">
        <v>0.01</v>
      </c>
      <c r="P38" s="92"/>
      <c r="Q38" s="92"/>
      <c r="R38" s="92"/>
      <c r="S38" s="92"/>
      <c r="T38" s="92"/>
    </row>
    <row r="39" spans="1:20" ht="23.45" customHeight="1">
      <c r="A39" s="608" t="s">
        <v>279</v>
      </c>
      <c r="B39" s="488" t="s">
        <v>280</v>
      </c>
      <c r="C39" s="453" t="s">
        <v>97</v>
      </c>
      <c r="D39" s="434">
        <v>85</v>
      </c>
      <c r="E39" s="439" t="s">
        <v>98</v>
      </c>
      <c r="F39" s="434" t="s">
        <v>99</v>
      </c>
      <c r="G39" s="439" t="s">
        <v>55</v>
      </c>
      <c r="H39" s="14" t="s">
        <v>29</v>
      </c>
      <c r="I39" s="91">
        <v>0.85</v>
      </c>
      <c r="J39" s="91">
        <v>0.85</v>
      </c>
      <c r="K39" s="91">
        <v>0.85</v>
      </c>
      <c r="L39" s="91">
        <v>0.85</v>
      </c>
      <c r="M39" s="91">
        <v>0.85</v>
      </c>
      <c r="N39" s="91">
        <v>0.85</v>
      </c>
      <c r="O39" s="91">
        <v>0.85</v>
      </c>
      <c r="P39" s="91">
        <v>0.85</v>
      </c>
      <c r="Q39" s="91">
        <v>0.85</v>
      </c>
      <c r="R39" s="91">
        <v>0.85</v>
      </c>
      <c r="S39" s="91">
        <v>0.85</v>
      </c>
      <c r="T39" s="91">
        <v>0.85</v>
      </c>
    </row>
    <row r="40" spans="1:20" ht="30.95" customHeight="1">
      <c r="A40" s="609"/>
      <c r="B40" s="382"/>
      <c r="C40" s="329"/>
      <c r="D40" s="333"/>
      <c r="E40" s="329"/>
      <c r="F40" s="333"/>
      <c r="G40" s="329"/>
      <c r="H40" s="14" t="s">
        <v>30</v>
      </c>
      <c r="I40" s="92">
        <v>0.75</v>
      </c>
      <c r="J40" s="92">
        <v>0.8</v>
      </c>
      <c r="K40" s="92">
        <v>0.77</v>
      </c>
      <c r="L40" s="92">
        <v>0.84</v>
      </c>
      <c r="M40" s="92">
        <v>0.85</v>
      </c>
      <c r="N40" s="92">
        <v>0.9</v>
      </c>
      <c r="O40" s="92">
        <v>0.86</v>
      </c>
      <c r="P40" s="92"/>
      <c r="Q40" s="92"/>
      <c r="R40" s="92"/>
      <c r="S40" s="92"/>
      <c r="T40" s="92"/>
    </row>
    <row r="41" spans="1:20">
      <c r="B41"/>
      <c r="M41" s="43"/>
      <c r="N41" s="43"/>
      <c r="O41" s="43"/>
      <c r="P41" s="43"/>
      <c r="Q41" s="43"/>
      <c r="R41" s="43"/>
      <c r="S41" s="43"/>
      <c r="T41" s="43"/>
    </row>
    <row r="42" spans="1:20" ht="21">
      <c r="A42" s="10" t="s">
        <v>217</v>
      </c>
      <c r="B42"/>
    </row>
    <row r="43" spans="1:20">
      <c r="A43" s="28"/>
      <c r="B43"/>
    </row>
    <row r="44" spans="1:20">
      <c r="A44" s="28"/>
      <c r="B44"/>
    </row>
    <row r="45" spans="1:20">
      <c r="A45" s="28"/>
      <c r="B45"/>
    </row>
    <row r="46" spans="1:20">
      <c r="A46" s="28"/>
      <c r="B46"/>
    </row>
    <row r="47" spans="1:20">
      <c r="A47" s="28"/>
      <c r="B47"/>
    </row>
    <row r="48" spans="1:20">
      <c r="A48" s="28"/>
      <c r="B48"/>
    </row>
    <row r="49" spans="1:10">
      <c r="A49" s="28"/>
      <c r="B49"/>
    </row>
    <row r="50" spans="1:10">
      <c r="A50" s="28"/>
      <c r="B50"/>
    </row>
    <row r="51" spans="1:10">
      <c r="A51" s="28"/>
      <c r="B51"/>
    </row>
    <row r="52" spans="1:10">
      <c r="A52" s="28"/>
      <c r="B52"/>
    </row>
    <row r="53" spans="1:10">
      <c r="A53" s="28"/>
      <c r="B53"/>
    </row>
    <row r="54" spans="1:10">
      <c r="A54" s="28"/>
      <c r="B54"/>
    </row>
    <row r="55" spans="1:10">
      <c r="A55" s="28"/>
      <c r="B55"/>
    </row>
    <row r="56" spans="1:10">
      <c r="A56" s="28"/>
      <c r="B56"/>
    </row>
    <row r="57" spans="1:10">
      <c r="A57" s="28"/>
      <c r="B57"/>
    </row>
    <row r="58" spans="1:10">
      <c r="A58" s="28"/>
      <c r="B58"/>
    </row>
    <row r="59" spans="1:10" ht="21">
      <c r="A59" s="489" t="s">
        <v>123</v>
      </c>
      <c r="B59" s="489"/>
      <c r="C59" s="489"/>
      <c r="D59" s="489"/>
      <c r="E59" s="489"/>
      <c r="F59" s="489"/>
      <c r="G59" s="489"/>
      <c r="H59" s="489"/>
      <c r="I59" s="489"/>
    </row>
    <row r="60" spans="1:10" ht="21">
      <c r="A60" s="347" t="s">
        <v>124</v>
      </c>
      <c r="B60" s="347"/>
    </row>
    <row r="61" spans="1:10" ht="20.100000000000001" customHeight="1">
      <c r="A61" s="357" t="s">
        <v>125</v>
      </c>
      <c r="B61" s="359" t="s">
        <v>126</v>
      </c>
      <c r="C61" s="359"/>
      <c r="D61" s="359"/>
      <c r="E61" s="359"/>
      <c r="F61" s="359"/>
    </row>
    <row r="62" spans="1:10" ht="15" customHeight="1">
      <c r="A62" s="358"/>
      <c r="B62" s="25" t="s">
        <v>127</v>
      </c>
      <c r="C62" s="25" t="s">
        <v>128</v>
      </c>
      <c r="D62" s="25" t="s">
        <v>129</v>
      </c>
      <c r="E62" s="25" t="s">
        <v>130</v>
      </c>
      <c r="F62" s="25" t="s">
        <v>131</v>
      </c>
      <c r="I62" s="215"/>
    </row>
    <row r="63" spans="1:10" ht="59.1" customHeight="1">
      <c r="A63" s="27" t="s">
        <v>256</v>
      </c>
      <c r="B63" s="127" t="s">
        <v>281</v>
      </c>
      <c r="C63" s="127"/>
      <c r="D63" s="127"/>
      <c r="E63" s="127"/>
      <c r="F63" s="41"/>
      <c r="G63" s="32"/>
      <c r="H63" s="32"/>
      <c r="I63" s="32"/>
      <c r="J63" s="33"/>
    </row>
    <row r="64" spans="1:10" ht="19.350000000000001" customHeight="1">
      <c r="A64" s="27" t="s">
        <v>135</v>
      </c>
      <c r="B64" s="42">
        <v>1</v>
      </c>
      <c r="C64" s="42"/>
      <c r="D64" s="42"/>
      <c r="E64" s="42"/>
      <c r="F64" s="42"/>
      <c r="G64" s="32"/>
      <c r="H64" s="32"/>
    </row>
    <row r="65" spans="1:9" ht="19.350000000000001" customHeight="1">
      <c r="A65" s="25" t="s">
        <v>136</v>
      </c>
      <c r="B65" s="25" t="s">
        <v>127</v>
      </c>
      <c r="C65" s="25" t="s">
        <v>128</v>
      </c>
      <c r="D65" s="25" t="s">
        <v>129</v>
      </c>
      <c r="E65" s="25" t="s">
        <v>130</v>
      </c>
      <c r="F65" s="25" t="s">
        <v>131</v>
      </c>
      <c r="G65" s="32"/>
      <c r="H65" s="32"/>
    </row>
    <row r="66" spans="1:9" ht="29.85" customHeight="1">
      <c r="A66" s="279" t="s">
        <v>250</v>
      </c>
      <c r="B66" s="180" t="s">
        <v>282</v>
      </c>
      <c r="C66" s="180" t="s">
        <v>283</v>
      </c>
      <c r="D66" s="180" t="s">
        <v>284</v>
      </c>
      <c r="E66" s="180" t="s">
        <v>285</v>
      </c>
      <c r="F66" s="127" t="s">
        <v>286</v>
      </c>
      <c r="G66" s="32"/>
      <c r="H66" s="32"/>
    </row>
    <row r="67" spans="1:9" ht="19.350000000000001" customHeight="1">
      <c r="A67" s="27" t="s">
        <v>135</v>
      </c>
      <c r="B67" s="106">
        <f>3.3/12</f>
        <v>0.27499999999999997</v>
      </c>
      <c r="C67" s="106">
        <f>1.8/12</f>
        <v>0.15</v>
      </c>
      <c r="D67" s="106">
        <f>4/12</f>
        <v>0.33333333333333331</v>
      </c>
      <c r="E67" s="106">
        <f>0.3/12</f>
        <v>2.4999999999999998E-2</v>
      </c>
      <c r="F67" s="42">
        <f>2.6/12</f>
        <v>0.21666666666666667</v>
      </c>
      <c r="G67" s="32"/>
      <c r="H67" s="32"/>
    </row>
    <row r="68" spans="1:9" ht="19.350000000000001" customHeight="1">
      <c r="A68" s="25" t="s">
        <v>136</v>
      </c>
      <c r="B68" s="25" t="s">
        <v>127</v>
      </c>
      <c r="C68" s="25" t="s">
        <v>128</v>
      </c>
      <c r="D68" s="25" t="s">
        <v>129</v>
      </c>
      <c r="E68" s="25" t="s">
        <v>130</v>
      </c>
      <c r="F68" s="25" t="s">
        <v>131</v>
      </c>
      <c r="G68" s="32"/>
      <c r="H68" s="32"/>
    </row>
    <row r="69" spans="1:9" ht="42" customHeight="1">
      <c r="A69" s="279" t="s">
        <v>287</v>
      </c>
      <c r="B69" s="230" t="s">
        <v>84</v>
      </c>
      <c r="C69" s="309" t="s">
        <v>85</v>
      </c>
      <c r="D69" s="180"/>
      <c r="E69" s="180"/>
      <c r="F69" s="127"/>
      <c r="G69" s="32"/>
      <c r="I69" s="32"/>
    </row>
    <row r="70" spans="1:9" ht="19.350000000000001" customHeight="1">
      <c r="A70" s="279" t="s">
        <v>135</v>
      </c>
      <c r="B70" s="106">
        <v>0.6</v>
      </c>
      <c r="C70" s="106">
        <v>0.4</v>
      </c>
      <c r="D70" s="106"/>
      <c r="E70" s="106"/>
      <c r="F70" s="42"/>
      <c r="G70" s="32"/>
      <c r="H70" s="32"/>
    </row>
    <row r="71" spans="1:9" ht="19.350000000000001" customHeight="1">
      <c r="A71" s="25" t="s">
        <v>136</v>
      </c>
      <c r="B71" s="25" t="s">
        <v>127</v>
      </c>
      <c r="C71" s="25" t="s">
        <v>128</v>
      </c>
      <c r="D71" s="254">
        <v>41852</v>
      </c>
      <c r="E71" s="25" t="s">
        <v>130</v>
      </c>
      <c r="F71" s="25" t="s">
        <v>131</v>
      </c>
      <c r="G71" s="32"/>
      <c r="H71" s="32"/>
    </row>
    <row r="72" spans="1:9" ht="58.5" customHeight="1">
      <c r="A72" s="27"/>
      <c r="B72" s="127"/>
      <c r="C72" s="127"/>
      <c r="D72" s="127"/>
      <c r="E72" s="127"/>
      <c r="F72" s="41"/>
      <c r="G72" s="32"/>
      <c r="H72" s="32"/>
    </row>
    <row r="73" spans="1:9" ht="19.350000000000001" customHeight="1">
      <c r="A73" s="27"/>
      <c r="B73" s="42"/>
      <c r="C73" s="42"/>
      <c r="D73" s="42"/>
      <c r="E73" s="42"/>
      <c r="F73" s="42"/>
    </row>
    <row r="74" spans="1:9" ht="19.350000000000001" customHeight="1">
      <c r="A74" s="25" t="s">
        <v>136</v>
      </c>
      <c r="B74" s="25" t="s">
        <v>127</v>
      </c>
      <c r="C74" s="25" t="s">
        <v>128</v>
      </c>
      <c r="D74" s="25" t="s">
        <v>129</v>
      </c>
      <c r="E74" s="25" t="s">
        <v>130</v>
      </c>
      <c r="F74" s="25" t="s">
        <v>131</v>
      </c>
    </row>
    <row r="75" spans="1:9" ht="30.6" customHeight="1">
      <c r="A75" s="27"/>
      <c r="B75" s="41"/>
      <c r="C75" s="41"/>
      <c r="D75" s="41"/>
      <c r="E75" s="41"/>
      <c r="F75" s="41"/>
    </row>
    <row r="76" spans="1:9" ht="19.350000000000001" customHeight="1">
      <c r="A76" s="27"/>
      <c r="B76" s="42"/>
      <c r="C76" s="42"/>
      <c r="D76" s="42"/>
      <c r="E76" s="42"/>
      <c r="F76" s="42"/>
    </row>
    <row r="77" spans="1:9" ht="19.350000000000001" customHeight="1">
      <c r="A77" s="25" t="s">
        <v>136</v>
      </c>
      <c r="B77" s="25" t="s">
        <v>127</v>
      </c>
      <c r="C77" s="25" t="s">
        <v>128</v>
      </c>
      <c r="D77" s="25" t="s">
        <v>129</v>
      </c>
      <c r="E77" s="25" t="s">
        <v>130</v>
      </c>
      <c r="F77" s="25" t="s">
        <v>131</v>
      </c>
    </row>
    <row r="78" spans="1:9" ht="19.350000000000001" customHeight="1">
      <c r="A78" s="27"/>
      <c r="B78" s="41"/>
      <c r="C78" s="41"/>
      <c r="D78" s="41"/>
      <c r="E78" s="41"/>
      <c r="F78" s="41"/>
    </row>
    <row r="79" spans="1:9" ht="19.350000000000001" customHeight="1">
      <c r="A79" s="27"/>
      <c r="B79" s="42"/>
      <c r="C79" s="42"/>
      <c r="D79" s="42"/>
      <c r="E79" s="42"/>
      <c r="F79" s="42"/>
    </row>
    <row r="80" spans="1:9" ht="21">
      <c r="A80" s="10" t="s">
        <v>144</v>
      </c>
      <c r="B80"/>
    </row>
    <row r="81" spans="1:35">
      <c r="A81" s="28"/>
      <c r="B81"/>
    </row>
    <row r="82" spans="1:35">
      <c r="A82" s="28"/>
      <c r="B82"/>
    </row>
    <row r="83" spans="1:35">
      <c r="A83" s="28"/>
      <c r="B83"/>
    </row>
    <row r="84" spans="1:35">
      <c r="A84" s="28"/>
      <c r="B84"/>
    </row>
    <row r="85" spans="1:35">
      <c r="A85" s="28"/>
      <c r="B85"/>
    </row>
    <row r="86" spans="1:35">
      <c r="A86" s="28"/>
      <c r="B86"/>
    </row>
    <row r="87" spans="1:35">
      <c r="A87" s="28"/>
      <c r="B87"/>
    </row>
    <row r="88" spans="1:35">
      <c r="A88" s="28"/>
      <c r="B88"/>
    </row>
    <row r="89" spans="1:35">
      <c r="A89" s="28"/>
      <c r="B89"/>
    </row>
    <row r="90" spans="1:35">
      <c r="A90" s="28"/>
      <c r="B90"/>
    </row>
    <row r="91" spans="1:35">
      <c r="A91" s="28"/>
      <c r="B91"/>
    </row>
    <row r="92" spans="1:35">
      <c r="A92" s="28"/>
      <c r="B92"/>
    </row>
    <row r="93" spans="1:35">
      <c r="A93" s="28"/>
      <c r="B93"/>
    </row>
    <row r="94" spans="1:35">
      <c r="A94" s="28"/>
      <c r="B94"/>
    </row>
    <row r="95" spans="1:35" ht="15" thickBot="1">
      <c r="A95" s="28"/>
      <c r="B95"/>
      <c r="W95" s="15"/>
      <c r="X95" s="15"/>
      <c r="Y95" s="15"/>
      <c r="Z95" s="15"/>
      <c r="AA95" s="15"/>
      <c r="AB95" s="15"/>
      <c r="AC95" s="15"/>
      <c r="AD95" s="15"/>
      <c r="AE95" s="15"/>
      <c r="AF95" s="15"/>
      <c r="AG95" s="15"/>
      <c r="AH95" s="15"/>
      <c r="AI95" s="15"/>
    </row>
    <row r="96" spans="1:35" ht="18.95" thickBot="1">
      <c r="A96" s="360" t="s">
        <v>145</v>
      </c>
      <c r="B96" s="361"/>
      <c r="C96" s="361"/>
      <c r="D96" s="361"/>
      <c r="E96" s="361"/>
      <c r="F96" s="362"/>
      <c r="H96" s="364" t="s">
        <v>146</v>
      </c>
      <c r="I96" s="365"/>
      <c r="J96" s="365"/>
      <c r="K96" s="365"/>
      <c r="L96" s="365"/>
      <c r="M96" s="365"/>
      <c r="N96" s="365"/>
      <c r="O96" s="366"/>
    </row>
    <row r="97" spans="1:35" s="15" customFormat="1" ht="41.85" customHeight="1">
      <c r="A97" s="16" t="s">
        <v>136</v>
      </c>
      <c r="B97" s="17" t="s">
        <v>147</v>
      </c>
      <c r="C97" s="18" t="s">
        <v>148</v>
      </c>
      <c r="D97" s="19" t="s">
        <v>149</v>
      </c>
      <c r="E97" s="17" t="s">
        <v>150</v>
      </c>
      <c r="F97" s="20" t="s">
        <v>151</v>
      </c>
      <c r="G97"/>
      <c r="H97" s="21" t="s">
        <v>58</v>
      </c>
      <c r="I97" s="22" t="s">
        <v>152</v>
      </c>
      <c r="J97" s="22" t="s">
        <v>153</v>
      </c>
      <c r="K97" s="23" t="s">
        <v>154</v>
      </c>
      <c r="L97" s="23" t="s">
        <v>155</v>
      </c>
      <c r="M97" s="24" t="s">
        <v>156</v>
      </c>
      <c r="N97" s="23" t="s">
        <v>157</v>
      </c>
      <c r="O97" s="36" t="s">
        <v>158</v>
      </c>
      <c r="W97"/>
      <c r="X97"/>
      <c r="Y97"/>
      <c r="Z97"/>
      <c r="AA97"/>
      <c r="AB97"/>
      <c r="AC97"/>
      <c r="AD97"/>
      <c r="AE97"/>
      <c r="AF97"/>
      <c r="AG97"/>
      <c r="AH97"/>
      <c r="AI97"/>
    </row>
    <row r="98" spans="1:35" ht="17.100000000000001" customHeight="1">
      <c r="A98" s="330" t="s">
        <v>288</v>
      </c>
      <c r="B98" s="336" t="s">
        <v>289</v>
      </c>
      <c r="C98" s="336" t="s">
        <v>290</v>
      </c>
      <c r="D98" s="336" t="s">
        <v>291</v>
      </c>
      <c r="E98" s="337" t="s">
        <v>292</v>
      </c>
      <c r="F98" s="339">
        <v>4</v>
      </c>
      <c r="H98" s="330"/>
      <c r="I98" s="367"/>
      <c r="J98" s="367"/>
      <c r="K98" s="367"/>
      <c r="L98" s="367"/>
      <c r="M98" s="370"/>
      <c r="N98" s="367"/>
      <c r="O98" s="345"/>
    </row>
    <row r="99" spans="1:35" ht="17.100000000000001" customHeight="1">
      <c r="A99" s="331"/>
      <c r="B99" s="333"/>
      <c r="C99" s="333"/>
      <c r="D99" s="333"/>
      <c r="E99" s="338"/>
      <c r="F99" s="340"/>
      <c r="H99" s="331"/>
      <c r="I99" s="368"/>
      <c r="J99" s="368"/>
      <c r="K99" s="368"/>
      <c r="L99" s="368"/>
      <c r="M99" s="371"/>
      <c r="N99" s="368"/>
      <c r="O99" s="346"/>
    </row>
    <row r="100" spans="1:35" ht="17.100000000000001" customHeight="1">
      <c r="A100" s="330" t="s">
        <v>263</v>
      </c>
      <c r="B100" s="343" t="s">
        <v>293</v>
      </c>
      <c r="C100" s="336" t="s">
        <v>294</v>
      </c>
      <c r="D100" s="336" t="s">
        <v>295</v>
      </c>
      <c r="E100" s="337" t="s">
        <v>296</v>
      </c>
      <c r="F100" s="339">
        <v>2</v>
      </c>
      <c r="H100" s="330"/>
      <c r="I100" s="367"/>
      <c r="J100" s="367"/>
      <c r="K100" s="367"/>
      <c r="L100" s="367"/>
      <c r="M100" s="370"/>
      <c r="N100" s="367"/>
      <c r="O100" s="345"/>
    </row>
    <row r="101" spans="1:35" ht="16.5" customHeight="1">
      <c r="A101" s="331"/>
      <c r="B101" s="382"/>
      <c r="C101" s="333"/>
      <c r="D101" s="333"/>
      <c r="E101" s="338"/>
      <c r="F101" s="340"/>
      <c r="H101" s="331"/>
      <c r="I101" s="368"/>
      <c r="J101" s="368"/>
      <c r="K101" s="368"/>
      <c r="L101" s="368"/>
      <c r="M101" s="371"/>
      <c r="N101" s="368"/>
      <c r="O101" s="346"/>
    </row>
    <row r="102" spans="1:35" ht="16.5" customHeight="1">
      <c r="A102" s="470" t="s">
        <v>263</v>
      </c>
      <c r="B102" s="469" t="s">
        <v>297</v>
      </c>
      <c r="C102" s="469" t="s">
        <v>298</v>
      </c>
      <c r="D102" s="469" t="s">
        <v>299</v>
      </c>
      <c r="E102" s="484" t="s">
        <v>300</v>
      </c>
      <c r="F102" s="472">
        <v>3</v>
      </c>
      <c r="H102" s="330"/>
      <c r="I102" s="367"/>
      <c r="J102" s="367"/>
      <c r="K102" s="367"/>
      <c r="L102" s="367"/>
      <c r="M102" s="370"/>
      <c r="N102" s="367"/>
      <c r="O102" s="345"/>
    </row>
    <row r="103" spans="1:35" ht="16.5" customHeight="1">
      <c r="A103" s="470"/>
      <c r="B103" s="469"/>
      <c r="C103" s="469"/>
      <c r="D103" s="469"/>
      <c r="E103" s="484"/>
      <c r="F103" s="472"/>
      <c r="H103" s="331"/>
      <c r="I103" s="368"/>
      <c r="J103" s="368"/>
      <c r="K103" s="368"/>
      <c r="L103" s="368"/>
      <c r="M103" s="371"/>
      <c r="N103" s="368"/>
      <c r="O103" s="346"/>
    </row>
    <row r="104" spans="1:35" ht="66.75" customHeight="1">
      <c r="A104" s="323" t="s">
        <v>263</v>
      </c>
      <c r="B104" s="298" t="s">
        <v>301</v>
      </c>
      <c r="C104" s="298" t="s">
        <v>302</v>
      </c>
      <c r="D104" s="298" t="s">
        <v>303</v>
      </c>
      <c r="E104" s="297" t="s">
        <v>304</v>
      </c>
      <c r="F104" s="319">
        <v>3</v>
      </c>
      <c r="H104" s="315"/>
      <c r="I104" s="316"/>
      <c r="J104" s="316"/>
      <c r="K104" s="316"/>
      <c r="L104" s="316"/>
      <c r="M104" s="317"/>
      <c r="N104" s="316"/>
      <c r="O104" s="314"/>
    </row>
    <row r="105" spans="1:35" ht="66.75" customHeight="1">
      <c r="A105" s="323" t="s">
        <v>305</v>
      </c>
      <c r="B105" s="298" t="s">
        <v>306</v>
      </c>
      <c r="C105" s="298" t="s">
        <v>307</v>
      </c>
      <c r="D105" s="298" t="s">
        <v>308</v>
      </c>
      <c r="E105" s="318" t="s">
        <v>304</v>
      </c>
      <c r="F105" s="319">
        <v>4</v>
      </c>
      <c r="H105" s="171"/>
      <c r="I105" s="172"/>
      <c r="J105" s="172"/>
      <c r="K105" s="172"/>
      <c r="L105" s="172"/>
      <c r="M105" s="173"/>
      <c r="N105" s="172"/>
      <c r="O105" s="174"/>
    </row>
    <row r="106" spans="1:35" ht="16.5" customHeight="1">
      <c r="A106" s="470" t="s">
        <v>305</v>
      </c>
      <c r="B106" s="469" t="s">
        <v>309</v>
      </c>
      <c r="C106" s="469" t="s">
        <v>310</v>
      </c>
      <c r="D106" s="469" t="s">
        <v>295</v>
      </c>
      <c r="E106" s="484" t="s">
        <v>18</v>
      </c>
      <c r="F106" s="472">
        <v>3</v>
      </c>
      <c r="H106" s="171"/>
      <c r="I106" s="172"/>
      <c r="J106" s="172"/>
      <c r="K106" s="172"/>
      <c r="L106" s="172"/>
      <c r="M106" s="173"/>
      <c r="N106" s="172"/>
      <c r="O106" s="174"/>
    </row>
    <row r="107" spans="1:35" ht="16.5" customHeight="1">
      <c r="A107" s="470"/>
      <c r="B107" s="469"/>
      <c r="C107" s="469"/>
      <c r="D107" s="469"/>
      <c r="E107" s="484"/>
      <c r="F107" s="472"/>
      <c r="H107" s="171"/>
      <c r="I107" s="172"/>
      <c r="J107" s="172"/>
      <c r="K107" s="172"/>
      <c r="L107" s="172"/>
      <c r="M107" s="173"/>
      <c r="N107" s="172"/>
      <c r="O107" s="174"/>
    </row>
    <row r="108" spans="1:35" ht="16.5" customHeight="1">
      <c r="A108" s="470" t="s">
        <v>311</v>
      </c>
      <c r="B108" s="469" t="s">
        <v>312</v>
      </c>
      <c r="C108" s="434" t="s">
        <v>313</v>
      </c>
      <c r="D108" s="469" t="s">
        <v>314</v>
      </c>
      <c r="E108" s="470" t="s">
        <v>18</v>
      </c>
      <c r="F108" s="471">
        <v>3</v>
      </c>
      <c r="H108" s="171"/>
      <c r="I108" s="172"/>
      <c r="J108" s="172"/>
      <c r="K108" s="172"/>
      <c r="L108" s="172"/>
      <c r="M108" s="173"/>
      <c r="N108" s="172"/>
      <c r="O108" s="174"/>
    </row>
    <row r="109" spans="1:35" ht="16.5" customHeight="1" thickBot="1">
      <c r="A109" s="470"/>
      <c r="B109" s="469"/>
      <c r="C109" s="384"/>
      <c r="D109" s="469"/>
      <c r="E109" s="470"/>
      <c r="F109" s="472"/>
      <c r="H109" s="171"/>
      <c r="I109" s="172"/>
      <c r="J109" s="172"/>
      <c r="K109" s="172"/>
      <c r="L109" s="172"/>
      <c r="M109" s="173"/>
      <c r="N109" s="172"/>
      <c r="O109" s="174"/>
    </row>
    <row r="110" spans="1:35" ht="16.5" customHeight="1">
      <c r="A110" s="461" t="s">
        <v>311</v>
      </c>
      <c r="B110" s="434" t="s">
        <v>315</v>
      </c>
      <c r="C110" s="434" t="s">
        <v>313</v>
      </c>
      <c r="D110" s="434" t="s">
        <v>299</v>
      </c>
      <c r="E110" s="459" t="s">
        <v>18</v>
      </c>
      <c r="F110" s="487">
        <v>2</v>
      </c>
      <c r="H110" s="330"/>
      <c r="I110" s="367"/>
      <c r="J110" s="367"/>
      <c r="K110" s="367"/>
      <c r="L110" s="367"/>
      <c r="M110" s="370"/>
      <c r="N110" s="367"/>
      <c r="O110" s="345"/>
    </row>
    <row r="111" spans="1:35" ht="17.100000000000001" customHeight="1" thickBot="1">
      <c r="A111" s="331"/>
      <c r="B111" s="384"/>
      <c r="C111" s="384"/>
      <c r="D111" s="384"/>
      <c r="E111" s="460"/>
      <c r="F111" s="340"/>
      <c r="H111" s="376"/>
      <c r="I111" s="379"/>
      <c r="J111" s="379"/>
      <c r="K111" s="379"/>
      <c r="L111" s="379"/>
      <c r="M111" s="380"/>
      <c r="N111" s="379"/>
      <c r="O111" s="381"/>
    </row>
    <row r="112" spans="1:35">
      <c r="A112" s="34" t="s">
        <v>195</v>
      </c>
      <c r="B112" s="34" t="s">
        <v>196</v>
      </c>
      <c r="C112" s="35" t="s">
        <v>197</v>
      </c>
      <c r="D112" s="35" t="s">
        <v>198</v>
      </c>
      <c r="E112" s="377" t="s">
        <v>199</v>
      </c>
      <c r="F112" s="378"/>
      <c r="G112" s="28"/>
    </row>
    <row r="113" spans="1:8">
      <c r="A113" s="28"/>
      <c r="C113" s="28"/>
      <c r="D113" s="28"/>
      <c r="E113" s="28"/>
      <c r="F113" s="28"/>
      <c r="G113" s="28"/>
    </row>
    <row r="114" spans="1:8">
      <c r="C114" s="28"/>
      <c r="D114" s="28"/>
      <c r="E114" s="28"/>
      <c r="F114" s="28"/>
      <c r="G114" s="28"/>
      <c r="H114" s="28"/>
    </row>
  </sheetData>
  <mergeCells count="182">
    <mergeCell ref="E112:F112"/>
    <mergeCell ref="I110:I111"/>
    <mergeCell ref="J110:J111"/>
    <mergeCell ref="K110:K111"/>
    <mergeCell ref="A35:A36"/>
    <mergeCell ref="C35:C36"/>
    <mergeCell ref="D35:D36"/>
    <mergeCell ref="E35:E36"/>
    <mergeCell ref="F35:F36"/>
    <mergeCell ref="G35:G36"/>
    <mergeCell ref="A98:A99"/>
    <mergeCell ref="B98:B99"/>
    <mergeCell ref="C98:C99"/>
    <mergeCell ref="E98:E99"/>
    <mergeCell ref="A60:B60"/>
    <mergeCell ref="B39:B40"/>
    <mergeCell ref="C39:C40"/>
    <mergeCell ref="D39:D40"/>
    <mergeCell ref="E39:E40"/>
    <mergeCell ref="F39:F40"/>
    <mergeCell ref="G39:G40"/>
    <mergeCell ref="F98:F99"/>
    <mergeCell ref="A59:I59"/>
    <mergeCell ref="H96:O96"/>
    <mergeCell ref="L110:L111"/>
    <mergeCell ref="M110:M111"/>
    <mergeCell ref="N110:N111"/>
    <mergeCell ref="E110:E111"/>
    <mergeCell ref="D37:D38"/>
    <mergeCell ref="E37:E38"/>
    <mergeCell ref="F37:F38"/>
    <mergeCell ref="G37:G38"/>
    <mergeCell ref="F110:F111"/>
    <mergeCell ref="D110:D111"/>
    <mergeCell ref="D100:D101"/>
    <mergeCell ref="E100:E101"/>
    <mergeCell ref="F100:F101"/>
    <mergeCell ref="K102:K103"/>
    <mergeCell ref="L102:L103"/>
    <mergeCell ref="M102:M103"/>
    <mergeCell ref="N102:N103"/>
    <mergeCell ref="N98:N99"/>
    <mergeCell ref="H98:H99"/>
    <mergeCell ref="D98:D99"/>
    <mergeCell ref="B61:F61"/>
    <mergeCell ref="A96:F96"/>
    <mergeCell ref="F106:F107"/>
    <mergeCell ref="A108:A109"/>
    <mergeCell ref="O102:O103"/>
    <mergeCell ref="A100:A101"/>
    <mergeCell ref="B100:B101"/>
    <mergeCell ref="C100:C101"/>
    <mergeCell ref="H110:H111"/>
    <mergeCell ref="O110:O111"/>
    <mergeCell ref="A102:A103"/>
    <mergeCell ref="B102:B103"/>
    <mergeCell ref="C102:C103"/>
    <mergeCell ref="D102:D103"/>
    <mergeCell ref="E102:E103"/>
    <mergeCell ref="F102:F103"/>
    <mergeCell ref="H102:H103"/>
    <mergeCell ref="I102:I103"/>
    <mergeCell ref="J102:J103"/>
    <mergeCell ref="H100:H101"/>
    <mergeCell ref="A106:A107"/>
    <mergeCell ref="A110:A111"/>
    <mergeCell ref="B110:B111"/>
    <mergeCell ref="C110:C111"/>
    <mergeCell ref="B106:B107"/>
    <mergeCell ref="C106:C107"/>
    <mergeCell ref="D106:D107"/>
    <mergeCell ref="E106:E107"/>
    <mergeCell ref="O98:O99"/>
    <mergeCell ref="I98:I99"/>
    <mergeCell ref="J98:J99"/>
    <mergeCell ref="K98:K99"/>
    <mergeCell ref="L98:L99"/>
    <mergeCell ref="O100:O101"/>
    <mergeCell ref="I100:I101"/>
    <mergeCell ref="J100:J101"/>
    <mergeCell ref="K100:K101"/>
    <mergeCell ref="L100:L101"/>
    <mergeCell ref="M100:M101"/>
    <mergeCell ref="N100:N101"/>
    <mergeCell ref="M98:M99"/>
    <mergeCell ref="A29:A30"/>
    <mergeCell ref="B29:B30"/>
    <mergeCell ref="C29:C30"/>
    <mergeCell ref="D29:D30"/>
    <mergeCell ref="E29:E30"/>
    <mergeCell ref="F29:F30"/>
    <mergeCell ref="G29:G30"/>
    <mergeCell ref="A31:A32"/>
    <mergeCell ref="A37:A38"/>
    <mergeCell ref="B37:B38"/>
    <mergeCell ref="C37:C38"/>
    <mergeCell ref="B35:B36"/>
    <mergeCell ref="A39:A40"/>
    <mergeCell ref="B31:B32"/>
    <mergeCell ref="C33:C34"/>
    <mergeCell ref="D33:D34"/>
    <mergeCell ref="E33:E34"/>
    <mergeCell ref="F33:F34"/>
    <mergeCell ref="G33:G34"/>
    <mergeCell ref="D31:D32"/>
    <mergeCell ref="E31:E32"/>
    <mergeCell ref="F31:F32"/>
    <mergeCell ref="G31:G32"/>
    <mergeCell ref="A33:A34"/>
    <mergeCell ref="B33:B34"/>
    <mergeCell ref="A24:A25"/>
    <mergeCell ref="B24:B25"/>
    <mergeCell ref="C24:C25"/>
    <mergeCell ref="D24:D25"/>
    <mergeCell ref="E24:E25"/>
    <mergeCell ref="F24:F25"/>
    <mergeCell ref="A26:C26"/>
    <mergeCell ref="G24:G25"/>
    <mergeCell ref="E22:E23"/>
    <mergeCell ref="F22:F23"/>
    <mergeCell ref="G22:G23"/>
    <mergeCell ref="A18:A19"/>
    <mergeCell ref="B18:B19"/>
    <mergeCell ref="C18:C19"/>
    <mergeCell ref="D18:D19"/>
    <mergeCell ref="E18:E19"/>
    <mergeCell ref="F18:F19"/>
    <mergeCell ref="G18:G19"/>
    <mergeCell ref="A16:A17"/>
    <mergeCell ref="B16:B17"/>
    <mergeCell ref="C16:C17"/>
    <mergeCell ref="D16:D17"/>
    <mergeCell ref="E16:E17"/>
    <mergeCell ref="F16:F17"/>
    <mergeCell ref="G20:G21"/>
    <mergeCell ref="G6:G7"/>
    <mergeCell ref="A8:A9"/>
    <mergeCell ref="B8:B9"/>
    <mergeCell ref="C8:C9"/>
    <mergeCell ref="D8:D9"/>
    <mergeCell ref="E8:E9"/>
    <mergeCell ref="F8:F9"/>
    <mergeCell ref="G8:G9"/>
    <mergeCell ref="G10:G11"/>
    <mergeCell ref="A20:A21"/>
    <mergeCell ref="B20:B21"/>
    <mergeCell ref="C20:C21"/>
    <mergeCell ref="D20:D21"/>
    <mergeCell ref="E20:E21"/>
    <mergeCell ref="F20:F21"/>
    <mergeCell ref="G14:G15"/>
    <mergeCell ref="A10:A11"/>
    <mergeCell ref="B10:B11"/>
    <mergeCell ref="C10:C11"/>
    <mergeCell ref="D10:D11"/>
    <mergeCell ref="E10:E11"/>
    <mergeCell ref="F10:F11"/>
    <mergeCell ref="G16:G17"/>
    <mergeCell ref="B108:B109"/>
    <mergeCell ref="C108:C109"/>
    <mergeCell ref="D108:D109"/>
    <mergeCell ref="E108:E109"/>
    <mergeCell ref="F108:F109"/>
    <mergeCell ref="A3:B3"/>
    <mergeCell ref="A6:A7"/>
    <mergeCell ref="B6:B7"/>
    <mergeCell ref="C6:C7"/>
    <mergeCell ref="D6:D7"/>
    <mergeCell ref="E6:E7"/>
    <mergeCell ref="F6:F7"/>
    <mergeCell ref="A14:A15"/>
    <mergeCell ref="B14:B15"/>
    <mergeCell ref="C14:C15"/>
    <mergeCell ref="D14:D15"/>
    <mergeCell ref="E14:E15"/>
    <mergeCell ref="F14:F15"/>
    <mergeCell ref="A22:A23"/>
    <mergeCell ref="B22:B23"/>
    <mergeCell ref="C22:C23"/>
    <mergeCell ref="A61:A62"/>
    <mergeCell ref="C31:C32"/>
    <mergeCell ref="D22:D23"/>
  </mergeCells>
  <conditionalFormatting sqref="A63:E63 C63:D64 F63:F64 B64:E64 A66:E66 F66:F67 B67:E67 A69:E69 F69:F70 B70:E70 A72:D72 E72:F73 B73:D73 A75:D75 E75:F76 B76:D76 A78:F78 B79:F79 A98:A111 H98:H111">
    <cfRule type="containsBlanks" dxfId="517" priority="104">
      <formula>LEN(TRIM(A63))=0</formula>
    </cfRule>
  </conditionalFormatting>
  <conditionalFormatting sqref="A6:G6 A8:G8 A10:G10">
    <cfRule type="containsBlanks" dxfId="516" priority="108">
      <formula>LEN(TRIM(A6))=0</formula>
    </cfRule>
  </conditionalFormatting>
  <conditionalFormatting sqref="A14:G14">
    <cfRule type="containsBlanks" dxfId="515" priority="100">
      <formula>LEN(TRIM(A14))=0</formula>
    </cfRule>
  </conditionalFormatting>
  <conditionalFormatting sqref="A16:G16">
    <cfRule type="containsBlanks" dxfId="514" priority="99">
      <formula>LEN(TRIM(A16))=0</formula>
    </cfRule>
  </conditionalFormatting>
  <conditionalFormatting sqref="A18:G18 A20:G20 A22:G22 B24:G24">
    <cfRule type="containsBlanks" dxfId="513" priority="119">
      <formula>LEN(TRIM(A18))=0</formula>
    </cfRule>
  </conditionalFormatting>
  <conditionalFormatting sqref="A29:G29 A31:G31 A35:G35">
    <cfRule type="containsBlanks" dxfId="512" priority="93">
      <formula>LEN(TRIM(A29))=0</formula>
    </cfRule>
  </conditionalFormatting>
  <conditionalFormatting sqref="B98:E98 B100:E100 B110:E110">
    <cfRule type="containsBlanks" dxfId="511" priority="114">
      <formula>LEN(TRIM(B98))=0</formula>
    </cfRule>
  </conditionalFormatting>
  <conditionalFormatting sqref="B102:E102">
    <cfRule type="containsBlanks" dxfId="510" priority="15">
      <formula>LEN(TRIM(B102))=0</formula>
    </cfRule>
  </conditionalFormatting>
  <conditionalFormatting sqref="B106:E106">
    <cfRule type="containsBlanks" dxfId="509" priority="41">
      <formula>LEN(TRIM(B106))=0</formula>
    </cfRule>
  </conditionalFormatting>
  <conditionalFormatting sqref="B108:E108">
    <cfRule type="containsBlanks" dxfId="508" priority="1">
      <formula>LEN(TRIM(B108))=0</formula>
    </cfRule>
  </conditionalFormatting>
  <conditionalFormatting sqref="C39:G39">
    <cfRule type="containsBlanks" dxfId="507" priority="50">
      <formula>LEN(TRIM(C39))=0</formula>
    </cfRule>
  </conditionalFormatting>
  <conditionalFormatting sqref="D1 F1">
    <cfRule type="containsBlanks" dxfId="506" priority="122">
      <formula>LEN(TRIM(D1))=0</formula>
    </cfRule>
  </conditionalFormatting>
  <conditionalFormatting sqref="F98 F100 F110">
    <cfRule type="iconSet" priority="491">
      <iconSet iconSet="5Quarters" showValue="0">
        <cfvo type="percent" val="0"/>
        <cfvo type="num" val="2"/>
        <cfvo type="num" val="3"/>
        <cfvo type="num" val="4"/>
        <cfvo type="num" val="5"/>
      </iconSet>
    </cfRule>
    <cfRule type="expression" dxfId="505" priority="492">
      <formula>AND(#REF!&lt;&gt;"",E98&lt;TODAY(),F98&lt;4)</formula>
    </cfRule>
  </conditionalFormatting>
  <conditionalFormatting sqref="F102">
    <cfRule type="iconSet" priority="16">
      <iconSet iconSet="5Quarters" showValue="0">
        <cfvo type="percent" val="0"/>
        <cfvo type="num" val="2"/>
        <cfvo type="num" val="3"/>
        <cfvo type="num" val="4"/>
        <cfvo type="num" val="5"/>
      </iconSet>
    </cfRule>
    <cfRule type="expression" dxfId="504" priority="17">
      <formula>AND(#REF!&lt;&gt;"",E102&lt;TODAY(),F102&lt;4)</formula>
    </cfRule>
  </conditionalFormatting>
  <conditionalFormatting sqref="F104:F106">
    <cfRule type="expression" dxfId="503" priority="43">
      <formula>AND(#REF!&lt;&gt;"",E104&lt;TODAY(),F104&lt;4)</formula>
    </cfRule>
    <cfRule type="iconSet" priority="42">
      <iconSet iconSet="5Quarters" showValue="0">
        <cfvo type="percent" val="0"/>
        <cfvo type="num" val="2"/>
        <cfvo type="num" val="3"/>
        <cfvo type="num" val="4"/>
        <cfvo type="num" val="5"/>
      </iconSet>
    </cfRule>
  </conditionalFormatting>
  <conditionalFormatting sqref="F108">
    <cfRule type="expression" dxfId="502" priority="40">
      <formula>AND(#REF!&lt;&gt;"",E108&lt;TODAY(),F108&lt;4)</formula>
    </cfRule>
    <cfRule type="iconSet" priority="39">
      <iconSet iconSet="5Quarters" showValue="0">
        <cfvo type="percent" val="0"/>
        <cfvo type="num" val="2"/>
        <cfvo type="num" val="3"/>
        <cfvo type="num" val="4"/>
        <cfvo type="num" val="5"/>
      </iconSet>
    </cfRule>
  </conditionalFormatting>
  <conditionalFormatting sqref="I98:O98 I100:O100 I102:O102 I110:O110">
    <cfRule type="containsBlanks" dxfId="501" priority="113">
      <formula>LEN(TRIM(I98))=0</formula>
    </cfRule>
  </conditionalFormatting>
  <conditionalFormatting sqref="I7:T7 I9:T9 I11:T11 I17:T17 I19:T19 I21:T21 I23:T23 I25:T25">
    <cfRule type="expression" dxfId="500" priority="110">
      <formula>AND(OR($F6="Lower the better", $F6="Lower the Better"), I7&lt;=I6)</formula>
    </cfRule>
    <cfRule type="expression" dxfId="499" priority="111">
      <formula>AND(OR($F6="Higher the better", $F6="Higher the Better"), I7&lt;I6)</formula>
    </cfRule>
    <cfRule type="expression" dxfId="498" priority="112" stopIfTrue="1">
      <formula>AND(OR($F6="Higher the better", $F6="Higher the Better"), I7&gt;=I6)</formula>
    </cfRule>
  </conditionalFormatting>
  <conditionalFormatting sqref="I7:T7 I9:T9 I11:T11">
    <cfRule type="containsBlanks" dxfId="497" priority="106">
      <formula>LEN(TRIM(I7))=0</formula>
    </cfRule>
  </conditionalFormatting>
  <conditionalFormatting sqref="I15:T15 I17:T17 I19:T19 I21:T21 I25:T25">
    <cfRule type="containsBlanks" dxfId="496" priority="107">
      <formula>LEN(TRIM(I15))=0</formula>
    </cfRule>
  </conditionalFormatting>
  <conditionalFormatting sqref="I15:T15">
    <cfRule type="expression" dxfId="495" priority="115">
      <formula>AND(OR($F14="Lower the better", $F14="Lower the Better"), I15&gt;I14)</formula>
    </cfRule>
    <cfRule type="expression" dxfId="494" priority="116">
      <formula>AND(OR($F14="Lower the better", $F14="Lower the Better"), I15&lt;=I14)</formula>
    </cfRule>
    <cfRule type="expression" dxfId="493" priority="117">
      <formula>AND(OR($F14="Higher the better", $F14="Higher the Better"), I15&lt;I14)</formula>
    </cfRule>
    <cfRule type="expression" dxfId="492" priority="118" stopIfTrue="1">
      <formula>AND(OR($F14="Higher the better", $F14="Higher the Better"), I15&gt;=I14)</formula>
    </cfRule>
  </conditionalFormatting>
  <conditionalFormatting sqref="I17:T17 I19:T19 I21:T21 I25:T25 I7:T7 I9:T9 I11:T11 I23:T23">
    <cfRule type="expression" dxfId="491" priority="109">
      <formula>AND(OR($F6="Lower the better", $F6="Lower the Better"), I7&gt;I6)</formula>
    </cfRule>
  </conditionalFormatting>
  <conditionalFormatting sqref="I23:T23">
    <cfRule type="containsBlanks" dxfId="490" priority="105">
      <formula>LEN(TRIM(I23))=0</formula>
    </cfRule>
  </conditionalFormatting>
  <conditionalFormatting sqref="I30:T30">
    <cfRule type="expression" dxfId="489" priority="84" stopIfTrue="1">
      <formula>AND(OR($F29="Higher the better", $F29="Higher the Better"), I30&gt;=I29)</formula>
    </cfRule>
    <cfRule type="containsBlanks" dxfId="488" priority="80">
      <formula>LEN(TRIM(I30))=0</formula>
    </cfRule>
    <cfRule type="expression" dxfId="487" priority="81">
      <formula>AND(OR($F29="Lower the better", $F29="Lower the Better"), I30&gt;I29)</formula>
    </cfRule>
    <cfRule type="expression" dxfId="486" priority="82">
      <formula>AND(OR($F29="Lower the better", $F29="Lower the Better"), I30&lt;=I29)</formula>
    </cfRule>
    <cfRule type="expression" dxfId="485" priority="83">
      <formula>AND(OR($F29="Higher the better", $F29="Higher the Better"), I30&lt;I29)</formula>
    </cfRule>
  </conditionalFormatting>
  <conditionalFormatting sqref="I32:T32">
    <cfRule type="expression" dxfId="484" priority="19">
      <formula>AND(OR($F31="Lower the better", $F31="Lower the Better"), I32&gt;I31)</formula>
    </cfRule>
    <cfRule type="expression" dxfId="483" priority="20">
      <formula>AND(OR($F31="Lower the better", $F31="Lower the Better"), I32&lt;=I31)</formula>
    </cfRule>
    <cfRule type="containsBlanks" dxfId="482" priority="18">
      <formula>LEN(TRIM(I32))=0</formula>
    </cfRule>
    <cfRule type="expression" dxfId="481" priority="22" stopIfTrue="1">
      <formula>AND(OR($F31="Higher the better", $F31="Higher the Better"), I32&gt;=I31)</formula>
    </cfRule>
    <cfRule type="expression" dxfId="480" priority="21">
      <formula>AND(OR($F31="Higher the better", $F31="Higher the Better"), I32&lt;I31)</formula>
    </cfRule>
  </conditionalFormatting>
  <conditionalFormatting sqref="I34:T34">
    <cfRule type="containsBlanks" dxfId="479" priority="7">
      <formula>LEN(TRIM(I34))=0</formula>
    </cfRule>
    <cfRule type="expression" dxfId="478" priority="9">
      <formula>AND(OR($F33="Lower the better", $F33="Lower the Better"), I34&lt;=I33)</formula>
    </cfRule>
    <cfRule type="expression" dxfId="477" priority="10">
      <formula>AND(OR($F33="Higher the better", $F33="Higher the Better"), I34&lt;I33)</formula>
    </cfRule>
    <cfRule type="expression" dxfId="476" priority="11" stopIfTrue="1">
      <formula>AND(OR($F33="Higher the better", $F33="Higher the Better"), I34&gt;=I33)</formula>
    </cfRule>
    <cfRule type="expression" dxfId="475" priority="8">
      <formula>AND(OR($F33="Lower the better", $F33="Lower the Better"), I34&gt;I33)</formula>
    </cfRule>
  </conditionalFormatting>
  <conditionalFormatting sqref="I36:T36">
    <cfRule type="expression" dxfId="474" priority="6" stopIfTrue="1">
      <formula>AND(OR($F35="Higher the better", $F35="Higher the Better"), I36&gt;=I35)</formula>
    </cfRule>
    <cfRule type="containsBlanks" dxfId="473" priority="2">
      <formula>LEN(TRIM(I36))=0</formula>
    </cfRule>
    <cfRule type="expression" dxfId="472" priority="3">
      <formula>AND(OR($F35="Lower the better", $F35="Lower the Better"), I36&gt;I35)</formula>
    </cfRule>
    <cfRule type="expression" dxfId="471" priority="4">
      <formula>AND(OR($F35="Lower the better", $F35="Lower the Better"), I36&lt;=I35)</formula>
    </cfRule>
    <cfRule type="expression" dxfId="470" priority="5">
      <formula>AND(OR($F35="Higher the better", $F35="Higher the Better"), I36&lt;I35)</formula>
    </cfRule>
  </conditionalFormatting>
  <conditionalFormatting sqref="I38:T38 I40:T40">
    <cfRule type="expression" dxfId="469" priority="51">
      <formula>AND(OR($F37="Lower the better", $F37="Lower the Better"), I38&gt;I37)</formula>
    </cfRule>
    <cfRule type="expression" dxfId="468" priority="52">
      <formula>AND(OR($F37="Lower the better", $F37="Lower the Better"), I38&lt;=I37)</formula>
    </cfRule>
    <cfRule type="expression" dxfId="467" priority="54" stopIfTrue="1">
      <formula>AND(OR($F37="Higher the better", $F37="Higher the Better"), I38&gt;=I37)</formula>
    </cfRule>
    <cfRule type="expression" dxfId="466" priority="53">
      <formula>AND(OR($F37="Higher the better", $F37="Higher the Better"), I38&lt;I37)</formula>
    </cfRule>
  </conditionalFormatting>
  <conditionalFormatting sqref="I38:T40">
    <cfRule type="containsBlanks" dxfId="465" priority="49">
      <formula>LEN(TRIM(I38))=0</formula>
    </cfRule>
  </conditionalFormatting>
  <conditionalFormatting sqref="M98:M111">
    <cfRule type="containsText" dxfId="464" priority="102" operator="containsText" text="Yes">
      <formula>NOT(ISERROR(SEARCH("Yes",M98)))</formula>
    </cfRule>
    <cfRule type="containsText" dxfId="463" priority="101" operator="containsText" text="No">
      <formula>NOT(ISERROR(SEARCH("No",M98)))</formula>
    </cfRule>
  </conditionalFormatting>
  <dataValidations count="7">
    <dataValidation type="list" allowBlank="1" showInputMessage="1" showErrorMessage="1" sqref="F98:G98 F100:G100 F102:G102 F108 F110:G110 F104:F106" xr:uid="{A985B462-765F-4AB8-A803-DA79AE2C9CB0}">
      <formula1>"1,2,3,4,5"</formula1>
    </dataValidation>
    <dataValidation type="list" allowBlank="1" showInputMessage="1" showErrorMessage="1" sqref="F6:F11 F14:F20 F22 F24:F25 F29:F33 F35:F37 F39:F40" xr:uid="{C2DA869D-54E3-4F89-9D4D-365DA7A5750E}">
      <formula1>"Higher the better, Lower the better"</formula1>
    </dataValidation>
    <dataValidation type="list" allowBlank="1" showInputMessage="1" showErrorMessage="1" sqref="G6:G11 G22 G14:G20 G24:G25 G29:G33 G35:G37 G39:G40" xr:uid="{513E657E-EE87-494C-8663-F7BB760D447D}">
      <formula1>"Monthly, Quarterly, Half yearly"</formula1>
    </dataValidation>
    <dataValidation type="list" allowBlank="1" showInputMessage="1" showErrorMessage="1" sqref="C6:C11 C22 C14:C20 C24:C25 C29:C33 C35:C37 C39:C40" xr:uid="{F9ABB5D5-5E0E-4F01-BC20-9A7771903BCF}">
      <formula1>"&gt;, &lt;, &gt;=, &lt;=, ="</formula1>
    </dataValidation>
    <dataValidation type="list" allowBlank="1" showInputMessage="1" showErrorMessage="1" sqref="M98 M100 M102 M110" xr:uid="{963D1CCA-EB60-4797-9527-F90EFCED27C6}">
      <formula1>"Yes, No"</formula1>
    </dataValidation>
    <dataValidation type="list" allowBlank="1" showInputMessage="1" showErrorMessage="1" sqref="B1:B2" xr:uid="{0C1FAFDA-A36D-489F-8974-28213BE3FC66}">
      <formula1>"Jan-2026, Feb-2026, Mar-2026, Apr-2026, May-2026, Jun-2026, Jul-2026, Aug-2026, Sep-2026, Oct-2026, Nov-2026, Dec-2026"</formula1>
    </dataValidation>
    <dataValidation type="list" allowBlank="1" showInputMessage="1" showErrorMessage="1" sqref="E6:E11 E22 E14:E20 E24:E25 E29:E33 E35:E37 E39:E40" xr:uid="{92830D11-5204-4E50-9A18-D285E548962E}">
      <formula1>"%, Mn, No., "</formula1>
    </dataValidation>
  </dataValidations>
  <pageMargins left="0.7" right="0.7" top="0.75" bottom="0.75" header="0.3" footer="0.3"/>
  <pageSetup orientation="portrait" r:id="rId1"/>
  <customProperties>
    <customPr name="_pios_id" r:id="rId2"/>
  </customPropertie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F99CB-B259-41D7-B18B-40A28A8818DA}">
  <sheetPr codeName="Sheet6"/>
  <dimension ref="A1:AI94"/>
  <sheetViews>
    <sheetView topLeftCell="E1" zoomScale="73" zoomScaleNormal="70" workbookViewId="0">
      <selection activeCell="O10" sqref="O10"/>
    </sheetView>
  </sheetViews>
  <sheetFormatPr defaultRowHeight="14.45"/>
  <cols>
    <col min="1" max="1" width="21" customWidth="1"/>
    <col min="2" max="2" width="22.42578125" style="28" customWidth="1"/>
    <col min="3" max="3" width="15.42578125" hidden="1" customWidth="1"/>
    <col min="4" max="4" width="14.140625" customWidth="1"/>
    <col min="5" max="5" width="20.5703125" customWidth="1"/>
    <col min="6" max="6" width="16.42578125" customWidth="1"/>
    <col min="7" max="7" width="12" customWidth="1"/>
    <col min="8" max="8" width="9.140625"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3" width="10.5703125" hidden="1" customWidth="1"/>
    <col min="24" max="24" width="8.5703125" hidden="1" customWidth="1"/>
    <col min="25" max="25" width="14.42578125" hidden="1" customWidth="1"/>
    <col min="26" max="35" width="8.5703125" hidden="1" customWidth="1"/>
    <col min="36" max="49" width="8.5703125" customWidth="1"/>
  </cols>
  <sheetData>
    <row r="1" spans="1:35" ht="19.350000000000001" customHeight="1">
      <c r="A1" s="12" t="s">
        <v>0</v>
      </c>
      <c r="B1" s="30">
        <v>46023</v>
      </c>
      <c r="C1" s="12" t="s">
        <v>88</v>
      </c>
      <c r="D1" s="12" t="s">
        <v>42</v>
      </c>
      <c r="E1" s="12" t="s">
        <v>89</v>
      </c>
      <c r="F1" s="39"/>
      <c r="W1" t="s">
        <v>90</v>
      </c>
      <c r="X1">
        <f>IF(I15&lt;&gt;"",IF($F14="Higher the better",IF(I15&gt;=I14,I15,NA()),IF(I15&lt;=I14,I15,NA())),NA())</f>
        <v>15</v>
      </c>
      <c r="Y1" t="e">
        <f t="shared" ref="Y1:AI1" si="0">IF(J15&lt;&gt;"",IF($F14="Higher the better",IF(J15&gt;=J14,J15,NA()),IF(J15&lt;=J14,J15,NA())),NA())</f>
        <v>#N/A</v>
      </c>
      <c r="Z1">
        <f t="shared" si="0"/>
        <v>15</v>
      </c>
      <c r="AA1">
        <f t="shared" si="0"/>
        <v>22</v>
      </c>
      <c r="AB1">
        <f t="shared" si="0"/>
        <v>1</v>
      </c>
      <c r="AC1">
        <f t="shared" si="0"/>
        <v>10</v>
      </c>
      <c r="AD1">
        <f t="shared" si="0"/>
        <v>1</v>
      </c>
      <c r="AE1" t="e">
        <f t="shared" si="0"/>
        <v>#N/A</v>
      </c>
      <c r="AF1" t="e">
        <f t="shared" si="0"/>
        <v>#N/A</v>
      </c>
      <c r="AG1" t="e">
        <f t="shared" si="0"/>
        <v>#N/A</v>
      </c>
      <c r="AH1" t="e">
        <f t="shared" si="0"/>
        <v>#N/A</v>
      </c>
      <c r="AI1" t="e">
        <f t="shared" si="0"/>
        <v>#N/A</v>
      </c>
    </row>
    <row r="2" spans="1:35" ht="19.350000000000001" customHeight="1">
      <c r="A2" s="13"/>
      <c r="B2" s="37"/>
      <c r="D2" s="13"/>
      <c r="E2" s="13"/>
      <c r="W2" t="s">
        <v>91</v>
      </c>
      <c r="X2" t="e">
        <f>IF(I15&lt;&gt;"",IF($F14="Higher the better",IF(I15&lt;I14,I15,NA()),IF(I15&gt;I14,I15,NA())),NA())</f>
        <v>#N/A</v>
      </c>
      <c r="Y2">
        <f t="shared" ref="Y2:AI2" si="1">IF(J15&lt;&gt;"",IF($F14="Higher the better",IF(J15&lt;J14,J15,NA()),IF(J15&gt;J14,J15,NA())),NA())</f>
        <v>9</v>
      </c>
      <c r="Z2" t="e">
        <f t="shared" si="1"/>
        <v>#N/A</v>
      </c>
      <c r="AA2" t="e">
        <f t="shared" si="1"/>
        <v>#N/A</v>
      </c>
      <c r="AB2" t="e">
        <f t="shared" si="1"/>
        <v>#N/A</v>
      </c>
      <c r="AC2" t="e">
        <f t="shared" si="1"/>
        <v>#N/A</v>
      </c>
      <c r="AD2" t="e">
        <f t="shared" si="1"/>
        <v>#N/A</v>
      </c>
      <c r="AE2" t="e">
        <f t="shared" si="1"/>
        <v>#N/A</v>
      </c>
      <c r="AF2" t="e">
        <f t="shared" si="1"/>
        <v>#N/A</v>
      </c>
      <c r="AG2" t="e">
        <f t="shared" si="1"/>
        <v>#N/A</v>
      </c>
      <c r="AH2" t="e">
        <f t="shared" si="1"/>
        <v>#N/A</v>
      </c>
      <c r="AI2" t="e">
        <f t="shared" si="1"/>
        <v>#N/A</v>
      </c>
    </row>
    <row r="3" spans="1:35" ht="20.100000000000001" customHeight="1">
      <c r="A3" s="347" t="s">
        <v>316</v>
      </c>
      <c r="B3" s="347"/>
      <c r="W3" t="s">
        <v>90</v>
      </c>
      <c r="X3">
        <f t="shared" ref="X3" si="2">IF(I17&lt;&gt;"",IF($F16="Higher the better",IF(I17&gt;=I16,I17,NA()),IF(I17&lt;=I16,I17,NA())),NA())</f>
        <v>5</v>
      </c>
      <c r="Y3" t="e">
        <f t="shared" ref="Y3" si="3">IF(J17&lt;&gt;"",IF($F16="Higher the better",IF(J17&gt;=J16,J17,NA()),IF(J17&lt;=J16,J17,NA())),NA())</f>
        <v>#N/A</v>
      </c>
      <c r="Z3" t="str">
        <f t="shared" ref="Z3" si="4">IF(K17&lt;&gt;"",IF($F16="Higher the better",IF(K17&gt;=K16,K17,NA()),IF(K17&lt;=K16,K17,NA())),NA())</f>
        <v>-</v>
      </c>
      <c r="AA3" t="str">
        <f t="shared" ref="AA3" si="5">IF(L17&lt;&gt;"",IF($F16="Higher the better",IF(L17&gt;=L16,L17,NA()),IF(L17&lt;=L16,L17,NA())),NA())</f>
        <v>-</v>
      </c>
      <c r="AB3" t="str">
        <f t="shared" ref="AB3" si="6">IF(M17&lt;&gt;"",IF($F16="Higher the better",IF(M17&gt;=M16,M17,NA()),IF(M17&lt;=M16,M17,NA())),NA())</f>
        <v>-</v>
      </c>
      <c r="AC3" t="str">
        <f t="shared" ref="AC3" si="7">IF(N17&lt;&gt;"",IF($F16="Higher the better",IF(N17&gt;=N16,N17,NA()),IF(N17&lt;=N16,N17,NA())),NA())</f>
        <v>-</v>
      </c>
      <c r="AD3">
        <f t="shared" ref="AD3" si="8">IF(O17&lt;&gt;"",IF($F16="Higher the better",IF(O17&gt;=O16,O17,NA()),IF(O17&lt;=O16,O17,NA())),NA())</f>
        <v>0</v>
      </c>
      <c r="AE3" t="e">
        <f t="shared" ref="AE3" si="9">IF(P17&lt;&gt;"",IF($F16="Higher the better",IF(P17&gt;=P16,P17,NA()),IF(P17&lt;=P16,P17,NA())),NA())</f>
        <v>#N/A</v>
      </c>
      <c r="AF3" t="e">
        <f t="shared" ref="AF3" si="10">IF(Q17&lt;&gt;"",IF($F16="Higher the better",IF(Q17&gt;=Q16,Q17,NA()),IF(Q17&lt;=Q16,Q17,NA())),NA())</f>
        <v>#N/A</v>
      </c>
      <c r="AG3" t="e">
        <f t="shared" ref="AG3" si="11">IF(R17&lt;&gt;"",IF($F16="Higher the better",IF(R17&gt;=R16,R17,NA()),IF(R17&lt;=R16,R17,NA())),NA())</f>
        <v>#N/A</v>
      </c>
      <c r="AH3" t="e">
        <f t="shared" ref="AH3" si="12">IF(S17&lt;&gt;"",IF($F16="Higher the better",IF(S17&gt;=S16,S17,NA()),IF(S17&lt;=S16,S17,NA())),NA())</f>
        <v>#N/A</v>
      </c>
      <c r="AI3" t="e">
        <f t="shared" ref="AI3" si="13">IF(T17&lt;&gt;"",IF($F16="Higher the better",IF(T17&gt;=T16,T17,NA()),IF(T17&lt;=T16,T17,NA())),NA())</f>
        <v>#N/A</v>
      </c>
    </row>
    <row r="4" spans="1:35" ht="18.600000000000001" customHeight="1">
      <c r="A4" s="11" t="s">
        <v>93</v>
      </c>
      <c r="B4" s="11"/>
      <c r="W4" t="s">
        <v>91</v>
      </c>
      <c r="X4" t="e">
        <f t="shared" ref="X4" si="14">IF(I17&lt;&gt;"",IF($F16="Higher the better",IF(I17&lt;I16,I17,NA()),IF(I17&gt;I16,I17,NA())),NA())</f>
        <v>#N/A</v>
      </c>
      <c r="Y4">
        <f t="shared" ref="Y4" si="15">IF(J17&lt;&gt;"",IF($F16="Higher the better",IF(J17&lt;J16,J17,NA()),IF(J17&gt;J16,J17,NA())),NA())</f>
        <v>7</v>
      </c>
      <c r="Z4" t="e">
        <f t="shared" ref="Z4" si="16">IF(K17&lt;&gt;"",IF($F16="Higher the better",IF(K17&lt;K16,K17,NA()),IF(K17&gt;K16,K17,NA())),NA())</f>
        <v>#N/A</v>
      </c>
      <c r="AA4" t="e">
        <f t="shared" ref="AA4" si="17">IF(L17&lt;&gt;"",IF($F16="Higher the better",IF(L17&lt;L16,L17,NA()),IF(L17&gt;L16,L17,NA())),NA())</f>
        <v>#N/A</v>
      </c>
      <c r="AB4" t="e">
        <f t="shared" ref="AB4" si="18">IF(M17&lt;&gt;"",IF($F16="Higher the better",IF(M17&lt;M16,M17,NA()),IF(M17&gt;M16,M17,NA())),NA())</f>
        <v>#N/A</v>
      </c>
      <c r="AC4" t="e">
        <f t="shared" ref="AC4" si="19">IF(N17&lt;&gt;"",IF($F16="Higher the better",IF(N17&lt;N16,N17,NA()),IF(N17&gt;N16,N17,NA())),NA())</f>
        <v>#N/A</v>
      </c>
      <c r="AD4" t="e">
        <f t="shared" ref="AD4" si="20">IF(O17&lt;&gt;"",IF($F16="Higher the better",IF(O17&lt;O16,O17,NA()),IF(O17&gt;O16,O17,NA())),NA())</f>
        <v>#N/A</v>
      </c>
      <c r="AE4" t="e">
        <f t="shared" ref="AE4" si="21">IF(P17&lt;&gt;"",IF($F16="Higher the better",IF(P17&lt;P16,P17,NA()),IF(P17&gt;P16,P17,NA())),NA())</f>
        <v>#N/A</v>
      </c>
      <c r="AF4" t="e">
        <f t="shared" ref="AF4" si="22">IF(Q17&lt;&gt;"",IF($F16="Higher the better",IF(Q17&lt;Q16,Q17,NA()),IF(Q17&gt;Q16,Q17,NA())),NA())</f>
        <v>#N/A</v>
      </c>
      <c r="AG4" t="e">
        <f t="shared" ref="AG4" si="23">IF(R17&lt;&gt;"",IF($F16="Higher the better",IF(R17&lt;R16,R17,NA()),IF(R17&gt;R16,R17,NA())),NA())</f>
        <v>#N/A</v>
      </c>
      <c r="AH4" t="e">
        <f t="shared" ref="AH4" si="24">IF(S17&lt;&gt;"",IF($F16="Higher the better",IF(S17&lt;S16,S17,NA()),IF(S17&gt;S16,S17,NA())),NA())</f>
        <v>#N/A</v>
      </c>
      <c r="AI4" t="e">
        <f t="shared" ref="AI4" si="25">IF(T17&lt;&gt;"",IF($F16="Higher the better",IF(T17&lt;T16,T17,NA()),IF(T17&gt;T16,T17,NA())),NA())</f>
        <v>#N/A</v>
      </c>
    </row>
    <row r="5" spans="1:35"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f t="shared" ref="X5" si="26">IF(I19&lt;&gt;"",IF($F18="Higher the better",IF(I19&gt;=I18,I19,NA()),IF(I19&lt;=I18,I19,NA())),NA())</f>
        <v>0.93</v>
      </c>
      <c r="Y5">
        <f t="shared" ref="Y5" si="27">IF(J19&lt;&gt;"",IF($F18="Higher the better",IF(J19&gt;=J18,J19,NA()),IF(J19&lt;=J18,J19,NA())),NA())</f>
        <v>0.89</v>
      </c>
      <c r="Z5">
        <f t="shared" ref="Z5" si="28">IF(K19&lt;&gt;"",IF($F18="Higher the better",IF(K19&gt;=K18,K19,NA()),IF(K19&lt;=K18,K19,NA())),NA())</f>
        <v>0.88</v>
      </c>
      <c r="AA5">
        <f t="shared" ref="AA5" si="29">IF(L19&lt;&gt;"",IF($F18="Higher the better",IF(L19&gt;=L18,L19,NA()),IF(L19&lt;=L18,L19,NA())),NA())</f>
        <v>0.84</v>
      </c>
      <c r="AB5">
        <f t="shared" ref="AB5" si="30">IF(M19&lt;&gt;"",IF($F18="Higher the better",IF(M19&gt;=M18,M19,NA()),IF(M19&lt;=M18,M19,NA())),NA())</f>
        <v>0.93</v>
      </c>
      <c r="AC5">
        <f t="shared" ref="AC5" si="31">IF(N19&lt;&gt;"",IF($F18="Higher the better",IF(N19&gt;=N18,N19,NA()),IF(N19&lt;=N18,N19,NA())),NA())</f>
        <v>0.93</v>
      </c>
      <c r="AD5">
        <f t="shared" ref="AD5" si="32">IF(O19&lt;&gt;"",IF($F18="Higher the better",IF(O19&gt;=O18,O19,NA()),IF(O19&lt;=O18,O19,NA())),NA())</f>
        <v>1</v>
      </c>
      <c r="AE5" t="e">
        <f t="shared" ref="AE5" si="33">IF(P19&lt;&gt;"",IF($F18="Higher the better",IF(P19&gt;=P18,P19,NA()),IF(P19&lt;=P18,P19,NA())),NA())</f>
        <v>#N/A</v>
      </c>
      <c r="AF5" t="e">
        <f t="shared" ref="AF5" si="34">IF(Q19&lt;&gt;"",IF($F18="Higher the better",IF(Q19&gt;=Q18,Q19,NA()),IF(Q19&lt;=Q18,Q19,NA())),NA())</f>
        <v>#N/A</v>
      </c>
      <c r="AG5" t="e">
        <f t="shared" ref="AG5" si="35">IF(R19&lt;&gt;"",IF($F18="Higher the better",IF(R19&gt;=R18,R19,NA()),IF(R19&lt;=R18,R19,NA())),NA())</f>
        <v>#N/A</v>
      </c>
      <c r="AH5" t="e">
        <f t="shared" ref="AH5" si="36">IF(S19&lt;&gt;"",IF($F18="Higher the better",IF(S19&gt;=S18,S19,NA()),IF(S19&lt;=S18,S19,NA())),NA())</f>
        <v>#N/A</v>
      </c>
      <c r="AI5" t="e">
        <f t="shared" ref="AI5" si="37">IF(T19&lt;&gt;"",IF($F18="Higher the better",IF(T19&gt;=T18,T19,NA()),IF(T19&lt;=T18,T19,NA())),NA())</f>
        <v>#N/A</v>
      </c>
    </row>
    <row r="6" spans="1:35">
      <c r="A6" s="430" t="s">
        <v>317</v>
      </c>
      <c r="B6" s="490" t="s">
        <v>318</v>
      </c>
      <c r="C6" s="328" t="s">
        <v>102</v>
      </c>
      <c r="D6" s="363" t="s">
        <v>319</v>
      </c>
      <c r="E6" s="328" t="s">
        <v>98</v>
      </c>
      <c r="F6" s="336" t="s">
        <v>99</v>
      </c>
      <c r="G6" s="328" t="s">
        <v>55</v>
      </c>
      <c r="H6" s="14" t="s">
        <v>29</v>
      </c>
      <c r="I6" s="44">
        <v>3.5000000000000003E-2</v>
      </c>
      <c r="J6" s="44">
        <f t="shared" ref="J6:S6" si="38">I6+0.035</f>
        <v>7.0000000000000007E-2</v>
      </c>
      <c r="K6" s="44">
        <f t="shared" si="38"/>
        <v>0.10500000000000001</v>
      </c>
      <c r="L6" s="44">
        <f t="shared" si="38"/>
        <v>0.14000000000000001</v>
      </c>
      <c r="M6" s="44">
        <f t="shared" si="38"/>
        <v>0.17500000000000002</v>
      </c>
      <c r="N6" s="44">
        <f t="shared" si="38"/>
        <v>0.21000000000000002</v>
      </c>
      <c r="O6" s="44">
        <v>0.23</v>
      </c>
      <c r="P6" s="44">
        <f t="shared" si="38"/>
        <v>0.26500000000000001</v>
      </c>
      <c r="Q6" s="44">
        <f t="shared" si="38"/>
        <v>0.30000000000000004</v>
      </c>
      <c r="R6" s="44">
        <f t="shared" si="38"/>
        <v>0.33500000000000008</v>
      </c>
      <c r="S6" s="44">
        <f t="shared" si="38"/>
        <v>0.37000000000000011</v>
      </c>
      <c r="T6" s="44">
        <v>0.4</v>
      </c>
      <c r="W6" t="s">
        <v>91</v>
      </c>
      <c r="X6" t="e">
        <f t="shared" ref="X6" si="39">IF(I19&lt;&gt;"",IF($F18="Higher the better",IF(I19&lt;I18,I19,NA()),IF(I19&gt;I18,I19,NA())),NA())</f>
        <v>#N/A</v>
      </c>
      <c r="Y6" t="e">
        <f t="shared" ref="Y6" si="40">IF(J19&lt;&gt;"",IF($F18="Higher the better",IF(J19&lt;J18,J19,NA()),IF(J19&gt;J18,J19,NA())),NA())</f>
        <v>#N/A</v>
      </c>
      <c r="Z6" t="e">
        <f t="shared" ref="Z6" si="41">IF(K19&lt;&gt;"",IF($F18="Higher the better",IF(K19&lt;K18,K19,NA()),IF(K19&gt;K18,K19,NA())),NA())</f>
        <v>#N/A</v>
      </c>
      <c r="AA6" t="e">
        <f t="shared" ref="AA6" si="42">IF(L19&lt;&gt;"",IF($F18="Higher the better",IF(L19&lt;L18,L19,NA()),IF(L19&gt;L18,L19,NA())),NA())</f>
        <v>#N/A</v>
      </c>
      <c r="AB6" t="e">
        <f t="shared" ref="AB6" si="43">IF(M19&lt;&gt;"",IF($F18="Higher the better",IF(M19&lt;M18,M19,NA()),IF(M19&gt;M18,M19,NA())),NA())</f>
        <v>#N/A</v>
      </c>
      <c r="AC6" t="e">
        <f t="shared" ref="AC6" si="44">IF(N19&lt;&gt;"",IF($F18="Higher the better",IF(N19&lt;N18,N19,NA()),IF(N19&gt;N18,N19,NA())),NA())</f>
        <v>#N/A</v>
      </c>
      <c r="AD6" t="e">
        <f t="shared" ref="AD6" si="45">IF(O19&lt;&gt;"",IF($F18="Higher the better",IF(O19&lt;O18,O19,NA()),IF(O19&gt;O18,O19,NA())),NA())</f>
        <v>#N/A</v>
      </c>
      <c r="AE6" t="e">
        <f t="shared" ref="AE6" si="46">IF(P19&lt;&gt;"",IF($F18="Higher the better",IF(P19&lt;P18,P19,NA()),IF(P19&gt;P18,P19,NA())),NA())</f>
        <v>#N/A</v>
      </c>
      <c r="AF6" t="e">
        <f t="shared" ref="AF6" si="47">IF(Q19&lt;&gt;"",IF($F18="Higher the better",IF(Q19&lt;Q18,Q19,NA()),IF(Q19&gt;Q18,Q19,NA())),NA())</f>
        <v>#N/A</v>
      </c>
      <c r="AG6" t="e">
        <f t="shared" ref="AG6" si="48">IF(R19&lt;&gt;"",IF($F18="Higher the better",IF(R19&lt;R18,R19,NA()),IF(R19&gt;R18,R19,NA())),NA())</f>
        <v>#N/A</v>
      </c>
      <c r="AH6" t="e">
        <f t="shared" ref="AH6" si="49">IF(S19&lt;&gt;"",IF($F18="Higher the better",IF(S19&lt;S18,S19,NA()),IF(S19&gt;S18,S19,NA())),NA())</f>
        <v>#N/A</v>
      </c>
      <c r="AI6" t="e">
        <f t="shared" ref="AI6" si="50">IF(T19&lt;&gt;"",IF($F18="Higher the better",IF(T19&lt;T18,T19,NA()),IF(T19&gt;T18,T19,NA())),NA())</f>
        <v>#N/A</v>
      </c>
    </row>
    <row r="7" spans="1:35">
      <c r="A7" s="406"/>
      <c r="B7" s="432"/>
      <c r="C7" s="329"/>
      <c r="D7" s="329"/>
      <c r="E7" s="329"/>
      <c r="F7" s="333"/>
      <c r="G7" s="329"/>
      <c r="H7" s="14" t="s">
        <v>30</v>
      </c>
      <c r="I7" s="124">
        <f>20673/1000000</f>
        <v>2.0673E-2</v>
      </c>
      <c r="J7" s="124">
        <f>(38099/1000000)+I7</f>
        <v>5.8772000000000005E-2</v>
      </c>
      <c r="K7" s="124">
        <f>J7+(46887/1000000)</f>
        <v>0.105659</v>
      </c>
      <c r="L7" s="124">
        <f>K7+(46763/1000000)</f>
        <v>0.152422</v>
      </c>
      <c r="M7" s="45">
        <v>0.19</v>
      </c>
      <c r="N7" s="45">
        <v>0.21</v>
      </c>
      <c r="O7" s="45">
        <v>0.23</v>
      </c>
      <c r="P7" s="45"/>
      <c r="Q7" s="45"/>
      <c r="R7" s="45"/>
      <c r="S7" s="45"/>
      <c r="T7" s="45"/>
      <c r="W7" t="s">
        <v>90</v>
      </c>
      <c r="X7" t="e">
        <f t="shared" ref="X7" si="51">IF(I21&lt;&gt;"",IF($F20="Higher the better",IF(I21&gt;=I20,I21,NA()),IF(I21&lt;=I20,I21,NA())),NA())</f>
        <v>#N/A</v>
      </c>
      <c r="Y7" t="e">
        <f t="shared" ref="Y7" si="52">IF(J21&lt;&gt;"",IF($F20="Higher the better",IF(J21&gt;=J20,J21,NA()),IF(J21&lt;=J20,J21,NA())),NA())</f>
        <v>#N/A</v>
      </c>
      <c r="Z7" t="e">
        <f t="shared" ref="Z7" si="53">IF(K21&lt;&gt;"",IF($F20="Higher the better",IF(K21&gt;=K20,K21,NA()),IF(K21&lt;=K20,K21,NA())),NA())</f>
        <v>#N/A</v>
      </c>
      <c r="AA7" t="e">
        <f t="shared" ref="AA7" si="54">IF(L21&lt;&gt;"",IF($F20="Higher the better",IF(L21&gt;=L20,L21,NA()),IF(L21&lt;=L20,L21,NA())),NA())</f>
        <v>#N/A</v>
      </c>
      <c r="AB7" t="e">
        <f t="shared" ref="AB7" si="55">IF(M21&lt;&gt;"",IF($F20="Higher the better",IF(M21&gt;=M20,M21,NA()),IF(M21&lt;=M20,M21,NA())),NA())</f>
        <v>#N/A</v>
      </c>
      <c r="AC7" t="e">
        <f t="shared" ref="AC7" si="56">IF(N21&lt;&gt;"",IF($F20="Higher the better",IF(N21&gt;=N20,N21,NA()),IF(N21&lt;=N20,N21,NA())),NA())</f>
        <v>#N/A</v>
      </c>
      <c r="AD7" t="e">
        <f t="shared" ref="AD7" si="57">IF(O21&lt;&gt;"",IF($F20="Higher the better",IF(O21&gt;=O20,O21,NA()),IF(O21&lt;=O20,O21,NA())),NA())</f>
        <v>#N/A</v>
      </c>
      <c r="AE7" t="e">
        <f t="shared" ref="AE7" si="58">IF(P21&lt;&gt;"",IF($F20="Higher the better",IF(P21&gt;=P20,P21,NA()),IF(P21&lt;=P20,P21,NA())),NA())</f>
        <v>#N/A</v>
      </c>
      <c r="AF7" t="e">
        <f t="shared" ref="AF7" si="59">IF(Q21&lt;&gt;"",IF($F20="Higher the better",IF(Q21&gt;=Q20,Q21,NA()),IF(Q21&lt;=Q20,Q21,NA())),NA())</f>
        <v>#N/A</v>
      </c>
      <c r="AG7" t="e">
        <f t="shared" ref="AG7" si="60">IF(R21&lt;&gt;"",IF($F20="Higher the better",IF(R21&gt;=R20,R21,NA()),IF(R21&lt;=R20,R21,NA())),NA())</f>
        <v>#N/A</v>
      </c>
      <c r="AH7" t="e">
        <f t="shared" ref="AH7" si="61">IF(S21&lt;&gt;"",IF($F20="Higher the better",IF(S21&gt;=S20,S21,NA()),IF(S21&lt;=S20,S21,NA())),NA())</f>
        <v>#N/A</v>
      </c>
      <c r="AI7" t="e">
        <f t="shared" ref="AI7" si="62">IF(T21&lt;&gt;"",IF($F20="Higher the better",IF(T21&gt;=T20,T21,NA()),IF(T21&lt;=T20,T21,NA())),NA())</f>
        <v>#N/A</v>
      </c>
    </row>
    <row r="8" spans="1:35">
      <c r="A8" s="491" t="s">
        <v>320</v>
      </c>
      <c r="B8" s="493" t="s">
        <v>260</v>
      </c>
      <c r="C8" s="328" t="s">
        <v>97</v>
      </c>
      <c r="D8" s="437">
        <v>0.9</v>
      </c>
      <c r="E8" s="328" t="s">
        <v>98</v>
      </c>
      <c r="F8" s="336" t="s">
        <v>99</v>
      </c>
      <c r="G8" s="328" t="s">
        <v>55</v>
      </c>
      <c r="H8" s="14" t="s">
        <v>29</v>
      </c>
      <c r="I8" s="4">
        <v>0.9</v>
      </c>
      <c r="J8" s="4">
        <v>0.9</v>
      </c>
      <c r="K8" s="4">
        <v>0.9</v>
      </c>
      <c r="L8" s="4">
        <v>0.9</v>
      </c>
      <c r="M8" s="4">
        <v>0.9</v>
      </c>
      <c r="N8" s="4">
        <v>0.9</v>
      </c>
      <c r="O8" s="4">
        <v>0.9</v>
      </c>
      <c r="P8" s="4">
        <v>0.9</v>
      </c>
      <c r="Q8" s="4">
        <v>0.9</v>
      </c>
      <c r="R8" s="4">
        <v>0.9</v>
      </c>
      <c r="S8" s="4">
        <v>0.9</v>
      </c>
      <c r="T8" s="4">
        <v>0.9</v>
      </c>
      <c r="W8" t="s">
        <v>91</v>
      </c>
      <c r="X8" t="e">
        <f t="shared" ref="X8" si="63">IF(I21&lt;&gt;"",IF($F20="Higher the better",IF(I21&lt;I20,I21,NA()),IF(I21&gt;I20,I21,NA())),NA())</f>
        <v>#N/A</v>
      </c>
      <c r="Y8" t="e">
        <f t="shared" ref="Y8" si="64">IF(J21&lt;&gt;"",IF($F20="Higher the better",IF(J21&lt;J20,J21,NA()),IF(J21&gt;J20,J21,NA())),NA())</f>
        <v>#N/A</v>
      </c>
      <c r="Z8" t="e">
        <f t="shared" ref="Z8" si="65">IF(K21&lt;&gt;"",IF($F20="Higher the better",IF(K21&lt;K20,K21,NA()),IF(K21&gt;K20,K21,NA())),NA())</f>
        <v>#N/A</v>
      </c>
      <c r="AA8" t="e">
        <f t="shared" ref="AA8" si="66">IF(L21&lt;&gt;"",IF($F20="Higher the better",IF(L21&lt;L20,L21,NA()),IF(L21&gt;L20,L21,NA())),NA())</f>
        <v>#N/A</v>
      </c>
      <c r="AB8" t="e">
        <f t="shared" ref="AB8" si="67">IF(M21&lt;&gt;"",IF($F20="Higher the better",IF(M21&lt;M20,M21,NA()),IF(M21&gt;M20,M21,NA())),NA())</f>
        <v>#N/A</v>
      </c>
      <c r="AC8" t="e">
        <f t="shared" ref="AC8" si="68">IF(N21&lt;&gt;"",IF($F20="Higher the better",IF(N21&lt;N20,N21,NA()),IF(N21&gt;N20,N21,NA())),NA())</f>
        <v>#N/A</v>
      </c>
      <c r="AD8" t="e">
        <f t="shared" ref="AD8" si="69">IF(O21&lt;&gt;"",IF($F20="Higher the better",IF(O21&lt;O20,O21,NA()),IF(O21&gt;O20,O21,NA())),NA())</f>
        <v>#N/A</v>
      </c>
      <c r="AE8" t="e">
        <f t="shared" ref="AE8" si="70">IF(P21&lt;&gt;"",IF($F20="Higher the better",IF(P21&lt;P20,P21,NA()),IF(P21&gt;P20,P21,NA())),NA())</f>
        <v>#N/A</v>
      </c>
      <c r="AF8" t="e">
        <f t="shared" ref="AF8" si="71">IF(Q21&lt;&gt;"",IF($F20="Higher the better",IF(Q21&lt;Q20,Q21,NA()),IF(Q21&gt;Q20,Q21,NA())),NA())</f>
        <v>#N/A</v>
      </c>
      <c r="AG8" t="e">
        <f t="shared" ref="AG8" si="72">IF(R21&lt;&gt;"",IF($F20="Higher the better",IF(R21&lt;R20,R21,NA()),IF(R21&gt;R20,R21,NA())),NA())</f>
        <v>#N/A</v>
      </c>
      <c r="AH8" t="e">
        <f t="shared" ref="AH8" si="73">IF(S21&lt;&gt;"",IF($F20="Higher the better",IF(S21&lt;S20,S21,NA()),IF(S21&gt;S20,S21,NA())),NA())</f>
        <v>#N/A</v>
      </c>
      <c r="AI8" t="e">
        <f t="shared" ref="AI8" si="74">IF(T21&lt;&gt;"",IF($F20="Higher the better",IF(T21&lt;T20,T21,NA()),IF(T21&gt;T20,T21,NA())),NA())</f>
        <v>#N/A</v>
      </c>
    </row>
    <row r="9" spans="1:35">
      <c r="A9" s="492"/>
      <c r="B9" s="494"/>
      <c r="C9" s="329"/>
      <c r="D9" s="329"/>
      <c r="E9" s="329"/>
      <c r="F9" s="333"/>
      <c r="G9" s="329"/>
      <c r="H9" s="14" t="s">
        <v>30</v>
      </c>
      <c r="I9" s="5">
        <v>1</v>
      </c>
      <c r="J9" s="5">
        <v>1</v>
      </c>
      <c r="K9" s="5">
        <v>1</v>
      </c>
      <c r="L9" s="5">
        <v>0.88</v>
      </c>
      <c r="M9" s="5">
        <v>0.93</v>
      </c>
      <c r="N9" s="5">
        <f>6/7</f>
        <v>0.8571428571428571</v>
      </c>
      <c r="O9" s="5">
        <v>1</v>
      </c>
      <c r="P9" s="5"/>
      <c r="Q9" s="5"/>
      <c r="R9" s="5"/>
      <c r="S9" s="5"/>
      <c r="T9" s="5"/>
    </row>
    <row r="10" spans="1:35">
      <c r="A10" s="430" t="s">
        <v>321</v>
      </c>
      <c r="B10" s="430" t="s">
        <v>322</v>
      </c>
      <c r="C10" s="328" t="s">
        <v>120</v>
      </c>
      <c r="D10" s="437">
        <v>1</v>
      </c>
      <c r="E10" s="328" t="s">
        <v>98</v>
      </c>
      <c r="F10" s="336" t="s">
        <v>99</v>
      </c>
      <c r="G10" s="328" t="s">
        <v>55</v>
      </c>
      <c r="H10" s="14" t="s">
        <v>29</v>
      </c>
      <c r="I10" s="44">
        <v>0</v>
      </c>
      <c r="J10" s="44">
        <v>0</v>
      </c>
      <c r="K10" s="44">
        <v>0</v>
      </c>
      <c r="L10" s="44">
        <v>1</v>
      </c>
      <c r="M10" s="44">
        <v>0</v>
      </c>
      <c r="N10" s="44">
        <v>0</v>
      </c>
      <c r="O10" s="44">
        <v>1</v>
      </c>
      <c r="P10" s="44">
        <v>1</v>
      </c>
      <c r="Q10" s="44">
        <v>0</v>
      </c>
      <c r="R10" s="44">
        <v>0</v>
      </c>
      <c r="S10" s="44">
        <v>0</v>
      </c>
      <c r="T10" s="44">
        <v>0</v>
      </c>
    </row>
    <row r="11" spans="1:35">
      <c r="A11" s="406"/>
      <c r="B11" s="432"/>
      <c r="C11" s="329"/>
      <c r="D11" s="329"/>
      <c r="E11" s="329"/>
      <c r="F11" s="333"/>
      <c r="G11" s="329"/>
      <c r="H11" s="14" t="s">
        <v>30</v>
      </c>
      <c r="I11" s="45" t="s">
        <v>323</v>
      </c>
      <c r="J11" s="45" t="s">
        <v>323</v>
      </c>
      <c r="K11" s="45" t="s">
        <v>323</v>
      </c>
      <c r="L11" s="45" t="s">
        <v>323</v>
      </c>
      <c r="M11" s="45" t="s">
        <v>323</v>
      </c>
      <c r="N11" s="45" t="s">
        <v>323</v>
      </c>
      <c r="O11" s="45">
        <v>1</v>
      </c>
      <c r="P11" s="45"/>
      <c r="Q11" s="45"/>
      <c r="R11" s="45"/>
      <c r="S11" s="45"/>
      <c r="T11" s="45"/>
    </row>
    <row r="12" spans="1:35" ht="18.600000000000001">
      <c r="A12" s="31" t="s">
        <v>112</v>
      </c>
      <c r="G12" s="38"/>
      <c r="I12" s="43"/>
      <c r="J12" s="43"/>
      <c r="K12" s="43"/>
      <c r="L12" s="43"/>
      <c r="M12" s="43"/>
      <c r="N12" s="43"/>
      <c r="O12" s="43"/>
      <c r="P12" s="43"/>
      <c r="Q12" s="43"/>
      <c r="R12" s="43"/>
      <c r="S12" s="43"/>
      <c r="T12" s="43"/>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3.5" customHeight="1">
      <c r="A14" s="463" t="s">
        <v>324</v>
      </c>
      <c r="B14" s="463" t="s">
        <v>325</v>
      </c>
      <c r="C14" s="328" t="s">
        <v>102</v>
      </c>
      <c r="D14" s="363">
        <v>1</v>
      </c>
      <c r="E14" s="328" t="s">
        <v>98</v>
      </c>
      <c r="F14" s="336" t="s">
        <v>99</v>
      </c>
      <c r="G14" s="328" t="s">
        <v>55</v>
      </c>
      <c r="H14" s="14" t="s">
        <v>29</v>
      </c>
      <c r="I14" s="44">
        <v>15</v>
      </c>
      <c r="J14" s="44">
        <v>10</v>
      </c>
      <c r="K14" s="44">
        <v>15</v>
      </c>
      <c r="L14" s="44">
        <v>22</v>
      </c>
      <c r="M14" s="44">
        <v>1</v>
      </c>
      <c r="N14" s="44">
        <v>10</v>
      </c>
      <c r="O14" s="44">
        <v>1</v>
      </c>
      <c r="P14" s="44">
        <v>0</v>
      </c>
      <c r="Q14" s="44">
        <v>0</v>
      </c>
      <c r="R14" s="44">
        <v>0</v>
      </c>
      <c r="S14" s="44">
        <v>0</v>
      </c>
      <c r="T14" s="44">
        <v>0</v>
      </c>
    </row>
    <row r="15" spans="1:35">
      <c r="A15" s="495"/>
      <c r="B15" s="495"/>
      <c r="C15" s="329"/>
      <c r="D15" s="468"/>
      <c r="E15" s="329"/>
      <c r="F15" s="333"/>
      <c r="G15" s="329"/>
      <c r="H15" s="14" t="s">
        <v>30</v>
      </c>
      <c r="I15" s="45">
        <v>15</v>
      </c>
      <c r="J15" s="45">
        <v>9</v>
      </c>
      <c r="K15" s="45">
        <v>15</v>
      </c>
      <c r="L15" s="45">
        <v>22</v>
      </c>
      <c r="M15" s="45">
        <v>1</v>
      </c>
      <c r="N15" s="45">
        <v>10</v>
      </c>
      <c r="O15" s="45">
        <v>1</v>
      </c>
      <c r="P15" s="45"/>
      <c r="Q15" s="45"/>
      <c r="R15" s="45"/>
      <c r="S15" s="45"/>
      <c r="T15" s="45"/>
    </row>
    <row r="16" spans="1:35" ht="11.1" customHeight="1">
      <c r="A16" s="463" t="s">
        <v>326</v>
      </c>
      <c r="B16" s="463" t="s">
        <v>327</v>
      </c>
      <c r="C16" s="328" t="s">
        <v>102</v>
      </c>
      <c r="D16" s="363">
        <v>1</v>
      </c>
      <c r="E16" s="328" t="s">
        <v>98</v>
      </c>
      <c r="F16" s="336" t="s">
        <v>99</v>
      </c>
      <c r="G16" s="328" t="s">
        <v>55</v>
      </c>
      <c r="H16" s="14" t="s">
        <v>29</v>
      </c>
      <c r="I16" s="44">
        <v>5</v>
      </c>
      <c r="J16" s="44">
        <v>8</v>
      </c>
      <c r="K16" s="44">
        <v>0</v>
      </c>
      <c r="L16" s="44">
        <v>0</v>
      </c>
      <c r="M16" s="44">
        <v>0</v>
      </c>
      <c r="N16" s="44">
        <v>0</v>
      </c>
      <c r="O16" s="44">
        <v>0</v>
      </c>
      <c r="P16" s="44">
        <v>0</v>
      </c>
      <c r="Q16" s="44">
        <v>0</v>
      </c>
      <c r="R16" s="44">
        <v>0</v>
      </c>
      <c r="S16" s="44">
        <v>0</v>
      </c>
      <c r="T16" s="44">
        <v>0</v>
      </c>
    </row>
    <row r="17" spans="1:20">
      <c r="A17" s="495"/>
      <c r="B17" s="495"/>
      <c r="C17" s="329"/>
      <c r="D17" s="468"/>
      <c r="E17" s="329"/>
      <c r="F17" s="333"/>
      <c r="G17" s="329"/>
      <c r="H17" s="14" t="s">
        <v>30</v>
      </c>
      <c r="I17" s="45">
        <v>5</v>
      </c>
      <c r="J17" s="45">
        <v>7</v>
      </c>
      <c r="K17" s="45" t="s">
        <v>323</v>
      </c>
      <c r="L17" s="45" t="s">
        <v>323</v>
      </c>
      <c r="M17" s="45" t="s">
        <v>323</v>
      </c>
      <c r="N17" s="45" t="s">
        <v>323</v>
      </c>
      <c r="O17" s="45">
        <v>0</v>
      </c>
      <c r="P17" s="45"/>
      <c r="Q17" s="45"/>
      <c r="R17" s="45"/>
      <c r="S17" s="45"/>
      <c r="T17" s="45"/>
    </row>
    <row r="18" spans="1:20" ht="15" customHeight="1">
      <c r="A18" s="350" t="s">
        <v>259</v>
      </c>
      <c r="B18" s="343" t="s">
        <v>260</v>
      </c>
      <c r="C18" s="328" t="s">
        <v>102</v>
      </c>
      <c r="D18" s="363">
        <v>0.8</v>
      </c>
      <c r="E18" s="328" t="s">
        <v>98</v>
      </c>
      <c r="F18" s="336" t="s">
        <v>99</v>
      </c>
      <c r="G18" s="328" t="s">
        <v>55</v>
      </c>
      <c r="H18" s="14" t="s">
        <v>29</v>
      </c>
      <c r="I18" s="4">
        <v>0.8</v>
      </c>
      <c r="J18" s="4">
        <v>0.8</v>
      </c>
      <c r="K18" s="4">
        <v>0.8</v>
      </c>
      <c r="L18" s="4">
        <v>0.8</v>
      </c>
      <c r="M18" s="4">
        <v>0.8</v>
      </c>
      <c r="N18" s="4">
        <v>0.8</v>
      </c>
      <c r="O18" s="4">
        <v>0.8</v>
      </c>
      <c r="P18" s="4">
        <v>0.8</v>
      </c>
      <c r="Q18" s="4">
        <v>0.8</v>
      </c>
      <c r="R18" s="4">
        <v>0.8</v>
      </c>
      <c r="S18" s="4">
        <v>0.8</v>
      </c>
      <c r="T18" s="4">
        <v>0.8</v>
      </c>
    </row>
    <row r="19" spans="1:20">
      <c r="A19" s="344"/>
      <c r="B19" s="382"/>
      <c r="C19" s="329"/>
      <c r="D19" s="329"/>
      <c r="E19" s="329"/>
      <c r="F19" s="333"/>
      <c r="G19" s="329"/>
      <c r="H19" s="14" t="s">
        <v>30</v>
      </c>
      <c r="I19" s="5">
        <v>0.93</v>
      </c>
      <c r="J19" s="5">
        <v>0.89</v>
      </c>
      <c r="K19" s="5">
        <v>0.88</v>
      </c>
      <c r="L19" s="5">
        <v>0.84</v>
      </c>
      <c r="M19" s="5">
        <v>0.93</v>
      </c>
      <c r="N19" s="5">
        <v>0.93</v>
      </c>
      <c r="O19" s="5">
        <v>1</v>
      </c>
      <c r="P19" s="5"/>
      <c r="Q19" s="5"/>
      <c r="R19" s="5"/>
      <c r="S19" s="5"/>
      <c r="T19" s="5"/>
    </row>
    <row r="20" spans="1:20" ht="14.85" customHeight="1">
      <c r="A20" s="350"/>
      <c r="B20" s="343"/>
      <c r="C20" s="328"/>
      <c r="D20" s="363"/>
      <c r="E20" s="328"/>
      <c r="F20" s="336"/>
      <c r="G20" s="328"/>
      <c r="H20" s="14" t="s">
        <v>29</v>
      </c>
      <c r="I20" s="4">
        <v>0</v>
      </c>
      <c r="J20" s="4">
        <v>0</v>
      </c>
      <c r="K20" s="4">
        <v>0</v>
      </c>
      <c r="L20" s="4">
        <v>0</v>
      </c>
      <c r="M20" s="4">
        <v>0</v>
      </c>
      <c r="N20" s="4">
        <v>0</v>
      </c>
      <c r="O20" s="4">
        <v>0</v>
      </c>
      <c r="P20" s="4">
        <v>0</v>
      </c>
      <c r="Q20" s="4">
        <v>0</v>
      </c>
      <c r="R20" s="4">
        <v>0</v>
      </c>
      <c r="S20" s="4">
        <v>0</v>
      </c>
      <c r="T20" s="4">
        <v>0</v>
      </c>
    </row>
    <row r="21" spans="1:20">
      <c r="A21" s="344"/>
      <c r="B21" s="382"/>
      <c r="C21" s="329"/>
      <c r="D21" s="329"/>
      <c r="E21" s="329"/>
      <c r="F21" s="333"/>
      <c r="G21" s="329"/>
      <c r="H21" s="14" t="s">
        <v>30</v>
      </c>
      <c r="I21" s="5"/>
      <c r="J21" s="5"/>
      <c r="K21" s="5"/>
      <c r="L21" s="5"/>
      <c r="M21" s="5"/>
      <c r="N21" s="5"/>
      <c r="O21" s="5"/>
      <c r="P21" s="5"/>
      <c r="Q21" s="5"/>
      <c r="R21" s="5"/>
      <c r="S21" s="5"/>
      <c r="T21" s="5"/>
    </row>
    <row r="22" spans="1:20" ht="15" customHeight="1">
      <c r="E22" s="32" t="s">
        <v>86</v>
      </c>
      <c r="H22" s="33" t="str">
        <f>IF(OR($F15="Lower the better",$F15="Lower the Better"),
    IF(I15&gt;I14,$A14,""),
    IF(OR($F15="Higher the better",$F15="Higher the Better"),
       IF(I15&lt;I14,$A14,""),
       ""
    )
)</f>
        <v/>
      </c>
    </row>
    <row r="23" spans="1:20" ht="21">
      <c r="A23" s="10" t="s">
        <v>217</v>
      </c>
      <c r="B23"/>
    </row>
    <row r="24" spans="1:20">
      <c r="A24" s="28"/>
      <c r="B24"/>
    </row>
    <row r="25" spans="1:20">
      <c r="A25" s="28"/>
      <c r="B25"/>
    </row>
    <row r="26" spans="1:20">
      <c r="A26" s="28"/>
      <c r="B26"/>
    </row>
    <row r="27" spans="1:20">
      <c r="A27" s="28"/>
      <c r="B27"/>
    </row>
    <row r="28" spans="1:20">
      <c r="A28" s="28"/>
      <c r="B28"/>
    </row>
    <row r="29" spans="1:20">
      <c r="A29" s="28"/>
      <c r="B29"/>
    </row>
    <row r="30" spans="1:20">
      <c r="A30" s="28"/>
      <c r="B30"/>
    </row>
    <row r="31" spans="1:20">
      <c r="A31" s="28"/>
      <c r="B31"/>
    </row>
    <row r="32" spans="1:20">
      <c r="A32" s="28"/>
      <c r="B32"/>
    </row>
    <row r="33" spans="1:6">
      <c r="A33" s="28"/>
      <c r="B33"/>
    </row>
    <row r="34" spans="1:6">
      <c r="A34" s="28"/>
      <c r="B34"/>
    </row>
    <row r="35" spans="1:6">
      <c r="A35" s="28"/>
      <c r="B35"/>
    </row>
    <row r="36" spans="1:6">
      <c r="A36" s="28"/>
      <c r="B36"/>
    </row>
    <row r="37" spans="1:6">
      <c r="A37" s="28"/>
      <c r="B37"/>
    </row>
    <row r="38" spans="1:6">
      <c r="A38" s="28"/>
      <c r="B38"/>
    </row>
    <row r="39" spans="1:6">
      <c r="A39" s="28"/>
      <c r="B39"/>
    </row>
    <row r="40" spans="1:6" ht="21">
      <c r="A40" s="356" t="s">
        <v>123</v>
      </c>
      <c r="B40" s="356"/>
      <c r="C40" s="356"/>
      <c r="D40" s="356"/>
      <c r="E40" s="356"/>
    </row>
    <row r="41" spans="1:6">
      <c r="A41" s="28"/>
      <c r="B41"/>
    </row>
    <row r="42" spans="1:6" ht="21">
      <c r="A42" s="347" t="s">
        <v>124</v>
      </c>
      <c r="B42" s="347"/>
    </row>
    <row r="43" spans="1:6" ht="20.100000000000001" customHeight="1">
      <c r="A43" s="357" t="s">
        <v>125</v>
      </c>
      <c r="B43" s="359" t="s">
        <v>328</v>
      </c>
      <c r="C43" s="359"/>
      <c r="D43" s="359"/>
      <c r="E43" s="359"/>
      <c r="F43" s="359"/>
    </row>
    <row r="44" spans="1:6" ht="15" customHeight="1">
      <c r="A44" s="358"/>
      <c r="B44" s="25" t="s">
        <v>127</v>
      </c>
      <c r="C44" s="25" t="s">
        <v>128</v>
      </c>
      <c r="D44" s="25" t="s">
        <v>129</v>
      </c>
      <c r="E44" s="25" t="s">
        <v>130</v>
      </c>
      <c r="F44" s="25" t="s">
        <v>131</v>
      </c>
    </row>
    <row r="45" spans="1:6" ht="19.350000000000001" customHeight="1">
      <c r="A45" s="40" t="s">
        <v>277</v>
      </c>
      <c r="B45" s="41" t="s">
        <v>329</v>
      </c>
      <c r="C45" s="41" t="s">
        <v>330</v>
      </c>
      <c r="D45" s="41" t="s">
        <v>331</v>
      </c>
      <c r="E45" s="41" t="s">
        <v>332</v>
      </c>
      <c r="F45" s="41" t="s">
        <v>333</v>
      </c>
    </row>
    <row r="46" spans="1:6" ht="19.350000000000001" customHeight="1">
      <c r="A46" s="27" t="s">
        <v>135</v>
      </c>
      <c r="B46" s="42">
        <v>0.1</v>
      </c>
      <c r="C46" s="42">
        <v>0.2</v>
      </c>
      <c r="D46" s="42">
        <v>0.3</v>
      </c>
      <c r="E46" s="42">
        <v>0.4</v>
      </c>
      <c r="F46" s="42">
        <v>0.13</v>
      </c>
    </row>
    <row r="47" spans="1:6" ht="19.350000000000001" customHeight="1">
      <c r="A47" s="25" t="s">
        <v>136</v>
      </c>
      <c r="B47" s="25" t="s">
        <v>127</v>
      </c>
      <c r="C47" s="25" t="s">
        <v>128</v>
      </c>
      <c r="D47" s="25" t="s">
        <v>129</v>
      </c>
      <c r="E47" s="25" t="s">
        <v>130</v>
      </c>
      <c r="F47" s="25" t="s">
        <v>131</v>
      </c>
    </row>
    <row r="48" spans="1:6" ht="19.350000000000001" customHeight="1">
      <c r="A48" s="27"/>
      <c r="B48" s="41"/>
      <c r="C48" s="41"/>
      <c r="D48" s="41"/>
      <c r="E48" s="41"/>
      <c r="F48" s="41"/>
    </row>
    <row r="49" spans="1:6" ht="19.350000000000001" customHeight="1">
      <c r="A49" s="27" t="s">
        <v>135</v>
      </c>
      <c r="B49" s="42"/>
      <c r="C49" s="42"/>
      <c r="D49" s="42"/>
      <c r="E49" s="42"/>
      <c r="F49" s="42"/>
    </row>
    <row r="50" spans="1:6" ht="19.350000000000001" customHeight="1">
      <c r="A50" s="25" t="s">
        <v>136</v>
      </c>
      <c r="B50" s="25" t="s">
        <v>127</v>
      </c>
      <c r="C50" s="25" t="s">
        <v>128</v>
      </c>
      <c r="D50" s="25" t="s">
        <v>129</v>
      </c>
      <c r="E50" s="25" t="s">
        <v>130</v>
      </c>
      <c r="F50" s="25" t="s">
        <v>131</v>
      </c>
    </row>
    <row r="51" spans="1:6" ht="19.350000000000001" customHeight="1">
      <c r="A51" s="27"/>
      <c r="B51" s="41"/>
      <c r="C51" s="41"/>
      <c r="D51" s="41"/>
      <c r="E51" s="41"/>
      <c r="F51" s="41"/>
    </row>
    <row r="52" spans="1:6" ht="19.350000000000001" customHeight="1">
      <c r="A52" s="27" t="s">
        <v>135</v>
      </c>
      <c r="B52" s="42"/>
      <c r="C52" s="42"/>
      <c r="D52" s="42"/>
      <c r="E52" s="42"/>
      <c r="F52" s="42"/>
    </row>
    <row r="53" spans="1:6" ht="19.350000000000001" customHeight="1">
      <c r="A53" s="25" t="s">
        <v>136</v>
      </c>
      <c r="B53" s="25" t="s">
        <v>127</v>
      </c>
      <c r="C53" s="25" t="s">
        <v>128</v>
      </c>
      <c r="D53" s="25" t="s">
        <v>129</v>
      </c>
      <c r="E53" s="25" t="s">
        <v>130</v>
      </c>
      <c r="F53" s="25" t="s">
        <v>131</v>
      </c>
    </row>
    <row r="54" spans="1:6" ht="19.350000000000001" customHeight="1">
      <c r="A54" s="27"/>
      <c r="B54" s="41"/>
      <c r="C54" s="41"/>
      <c r="D54" s="41"/>
      <c r="E54" s="41"/>
      <c r="F54" s="41"/>
    </row>
    <row r="55" spans="1:6" ht="19.350000000000001" customHeight="1">
      <c r="A55" s="27" t="s">
        <v>135</v>
      </c>
      <c r="B55" s="42"/>
      <c r="C55" s="42"/>
      <c r="D55" s="42"/>
      <c r="E55" s="42"/>
      <c r="F55" s="42"/>
    </row>
    <row r="56" spans="1:6" ht="19.350000000000001" customHeight="1">
      <c r="A56" s="25" t="s">
        <v>136</v>
      </c>
      <c r="B56" s="25" t="s">
        <v>127</v>
      </c>
      <c r="C56" s="25" t="s">
        <v>128</v>
      </c>
      <c r="D56" s="25" t="s">
        <v>129</v>
      </c>
      <c r="E56" s="25" t="s">
        <v>130</v>
      </c>
      <c r="F56" s="25" t="s">
        <v>131</v>
      </c>
    </row>
    <row r="57" spans="1:6" ht="19.350000000000001" customHeight="1">
      <c r="A57" s="27"/>
      <c r="B57" s="41"/>
      <c r="C57" s="41"/>
      <c r="D57" s="41"/>
      <c r="E57" s="41"/>
      <c r="F57" s="41"/>
    </row>
    <row r="58" spans="1:6" ht="19.350000000000001" customHeight="1">
      <c r="A58" s="27" t="s">
        <v>135</v>
      </c>
      <c r="B58" s="42"/>
      <c r="C58" s="42"/>
      <c r="D58" s="42"/>
      <c r="E58" s="42"/>
      <c r="F58" s="42"/>
    </row>
    <row r="59" spans="1:6" ht="19.350000000000001" customHeight="1">
      <c r="A59" s="25" t="s">
        <v>136</v>
      </c>
      <c r="B59" s="25" t="s">
        <v>127</v>
      </c>
      <c r="C59" s="25" t="s">
        <v>128</v>
      </c>
      <c r="D59" s="25" t="s">
        <v>129</v>
      </c>
      <c r="E59" s="25" t="s">
        <v>130</v>
      </c>
      <c r="F59" s="25" t="s">
        <v>131</v>
      </c>
    </row>
    <row r="60" spans="1:6" ht="19.350000000000001" customHeight="1">
      <c r="A60" s="27"/>
      <c r="B60" s="41"/>
      <c r="C60" s="41"/>
      <c r="D60" s="41"/>
      <c r="E60" s="41"/>
      <c r="F60" s="41"/>
    </row>
    <row r="61" spans="1:6" ht="19.350000000000001" customHeight="1">
      <c r="A61" s="27" t="s">
        <v>135</v>
      </c>
      <c r="B61" s="42"/>
      <c r="C61" s="42"/>
      <c r="D61" s="42"/>
      <c r="E61" s="42"/>
      <c r="F61" s="42"/>
    </row>
    <row r="62" spans="1:6" ht="21">
      <c r="A62" s="10" t="s">
        <v>144</v>
      </c>
      <c r="B62"/>
    </row>
    <row r="63" spans="1:6">
      <c r="A63" s="28"/>
      <c r="B63"/>
    </row>
    <row r="64" spans="1:6">
      <c r="A64" s="28"/>
      <c r="B64"/>
    </row>
    <row r="65" spans="1:15">
      <c r="A65" s="28"/>
      <c r="B65"/>
    </row>
    <row r="66" spans="1:15">
      <c r="A66" s="28"/>
      <c r="B66"/>
    </row>
    <row r="67" spans="1:15">
      <c r="A67" s="28"/>
      <c r="B67"/>
    </row>
    <row r="68" spans="1:15">
      <c r="A68" s="28"/>
      <c r="B68"/>
    </row>
    <row r="69" spans="1:15">
      <c r="A69" s="28"/>
      <c r="B69"/>
    </row>
    <row r="70" spans="1:15">
      <c r="A70" s="28"/>
      <c r="B70"/>
    </row>
    <row r="71" spans="1:15">
      <c r="A71" s="28"/>
      <c r="B71"/>
    </row>
    <row r="72" spans="1:15">
      <c r="A72" s="28"/>
      <c r="B72"/>
    </row>
    <row r="73" spans="1:15">
      <c r="A73" s="28"/>
      <c r="B73"/>
    </row>
    <row r="74" spans="1:15">
      <c r="A74" s="28"/>
      <c r="B74"/>
    </row>
    <row r="75" spans="1:15">
      <c r="A75" s="28"/>
      <c r="B75"/>
    </row>
    <row r="76" spans="1:15">
      <c r="A76" s="28"/>
      <c r="B76"/>
    </row>
    <row r="77" spans="1:15" ht="15" thickBot="1">
      <c r="A77" s="28"/>
      <c r="B77"/>
    </row>
    <row r="78" spans="1:15" ht="18.95" thickBot="1">
      <c r="A78" s="360" t="s">
        <v>145</v>
      </c>
      <c r="B78" s="361"/>
      <c r="C78" s="361"/>
      <c r="D78" s="361"/>
      <c r="E78" s="361"/>
      <c r="F78" s="362"/>
      <c r="H78" s="364" t="s">
        <v>146</v>
      </c>
      <c r="I78" s="365"/>
      <c r="J78" s="365"/>
      <c r="K78" s="365"/>
      <c r="L78" s="365"/>
      <c r="M78" s="365"/>
      <c r="N78" s="365"/>
      <c r="O78" s="366"/>
    </row>
    <row r="79" spans="1:15" s="15" customFormat="1" ht="41.85" customHeight="1">
      <c r="A79" s="16" t="s">
        <v>136</v>
      </c>
      <c r="B79" s="17" t="s">
        <v>147</v>
      </c>
      <c r="C79" s="18" t="s">
        <v>148</v>
      </c>
      <c r="D79" s="19" t="s">
        <v>149</v>
      </c>
      <c r="E79" s="17" t="s">
        <v>150</v>
      </c>
      <c r="F79" s="20" t="s">
        <v>151</v>
      </c>
      <c r="G79"/>
      <c r="H79" s="21" t="s">
        <v>58</v>
      </c>
      <c r="I79" s="22" t="s">
        <v>152</v>
      </c>
      <c r="J79" s="22" t="s">
        <v>153</v>
      </c>
      <c r="K79" s="23" t="s">
        <v>154</v>
      </c>
      <c r="L79" s="23" t="s">
        <v>155</v>
      </c>
      <c r="M79" s="24" t="s">
        <v>156</v>
      </c>
      <c r="N79" s="23" t="s">
        <v>157</v>
      </c>
      <c r="O79" s="36" t="s">
        <v>158</v>
      </c>
    </row>
    <row r="80" spans="1:15" ht="16.5" customHeight="1">
      <c r="A80" s="330" t="s">
        <v>334</v>
      </c>
      <c r="B80" s="336"/>
      <c r="C80" s="336"/>
      <c r="D80" s="336"/>
      <c r="E80" s="337"/>
      <c r="F80" s="339">
        <v>1</v>
      </c>
      <c r="H80" s="496" t="s">
        <v>335</v>
      </c>
      <c r="I80" s="372" t="s">
        <v>336</v>
      </c>
      <c r="J80" s="367" t="s">
        <v>79</v>
      </c>
      <c r="K80" s="372" t="s">
        <v>337</v>
      </c>
      <c r="L80" s="367"/>
      <c r="M80" s="370" t="s">
        <v>338</v>
      </c>
      <c r="N80" s="367"/>
      <c r="O80" s="345"/>
    </row>
    <row r="81" spans="1:15" ht="18" customHeight="1">
      <c r="A81" s="331"/>
      <c r="B81" s="333"/>
      <c r="C81" s="333"/>
      <c r="D81" s="333"/>
      <c r="E81" s="338"/>
      <c r="F81" s="340"/>
      <c r="H81" s="333"/>
      <c r="I81" s="373"/>
      <c r="J81" s="368"/>
      <c r="K81" s="373"/>
      <c r="L81" s="368"/>
      <c r="M81" s="371"/>
      <c r="N81" s="368"/>
      <c r="O81" s="346"/>
    </row>
    <row r="82" spans="1:15" ht="17.100000000000001" customHeight="1">
      <c r="A82" s="330" t="s">
        <v>339</v>
      </c>
      <c r="B82" s="336" t="s">
        <v>340</v>
      </c>
      <c r="C82" s="336"/>
      <c r="D82" s="336" t="s">
        <v>341</v>
      </c>
      <c r="E82" s="337"/>
      <c r="F82" s="339">
        <v>1</v>
      </c>
      <c r="H82" s="330"/>
      <c r="I82" s="367"/>
      <c r="J82" s="367"/>
      <c r="K82" s="367"/>
      <c r="L82" s="367"/>
      <c r="M82" s="367"/>
      <c r="N82" s="367"/>
      <c r="O82" s="345"/>
    </row>
    <row r="83" spans="1:15" ht="17.100000000000001" customHeight="1">
      <c r="A83" s="331"/>
      <c r="B83" s="333"/>
      <c r="C83" s="333"/>
      <c r="D83" s="333"/>
      <c r="E83" s="338"/>
      <c r="F83" s="340"/>
      <c r="H83" s="331"/>
      <c r="I83" s="368"/>
      <c r="J83" s="368"/>
      <c r="K83" s="368"/>
      <c r="L83" s="368"/>
      <c r="M83" s="368"/>
      <c r="N83" s="368"/>
      <c r="O83" s="346"/>
    </row>
    <row r="84" spans="1:15" ht="17.100000000000001" customHeight="1">
      <c r="A84" s="330" t="s">
        <v>339</v>
      </c>
      <c r="B84" s="336" t="s">
        <v>342</v>
      </c>
      <c r="C84" s="336"/>
      <c r="D84" s="336" t="s">
        <v>341</v>
      </c>
      <c r="E84" s="337"/>
      <c r="F84" s="339">
        <v>1</v>
      </c>
      <c r="H84" s="330"/>
      <c r="I84" s="367"/>
      <c r="J84" s="367"/>
      <c r="K84" s="367"/>
      <c r="L84" s="367"/>
      <c r="M84" s="370"/>
      <c r="N84" s="367"/>
      <c r="O84" s="345"/>
    </row>
    <row r="85" spans="1:15" ht="16.5" customHeight="1">
      <c r="A85" s="331"/>
      <c r="B85" s="333"/>
      <c r="C85" s="333"/>
      <c r="D85" s="333"/>
      <c r="E85" s="338"/>
      <c r="F85" s="340"/>
      <c r="H85" s="331"/>
      <c r="I85" s="368"/>
      <c r="J85" s="368"/>
      <c r="K85" s="368"/>
      <c r="L85" s="368"/>
      <c r="M85" s="371"/>
      <c r="N85" s="368"/>
      <c r="O85" s="346"/>
    </row>
    <row r="86" spans="1:15" ht="16.5" customHeight="1">
      <c r="A86" s="330"/>
      <c r="B86" s="336"/>
      <c r="C86" s="336"/>
      <c r="D86" s="336"/>
      <c r="E86" s="337"/>
      <c r="F86" s="339">
        <v>1</v>
      </c>
      <c r="H86" s="330"/>
      <c r="I86" s="367"/>
      <c r="J86" s="367"/>
      <c r="K86" s="367"/>
      <c r="L86" s="367"/>
      <c r="M86" s="370"/>
      <c r="N86" s="367"/>
      <c r="O86" s="345"/>
    </row>
    <row r="87" spans="1:15" ht="16.5" customHeight="1">
      <c r="A87" s="331"/>
      <c r="B87" s="333"/>
      <c r="C87" s="333"/>
      <c r="D87" s="333"/>
      <c r="E87" s="338"/>
      <c r="F87" s="340"/>
      <c r="H87" s="331"/>
      <c r="I87" s="368"/>
      <c r="J87" s="368"/>
      <c r="K87" s="368"/>
      <c r="L87" s="368"/>
      <c r="M87" s="371"/>
      <c r="N87" s="368"/>
      <c r="O87" s="346"/>
    </row>
    <row r="88" spans="1:15" ht="16.5" customHeight="1">
      <c r="A88" s="330"/>
      <c r="B88" s="336"/>
      <c r="C88" s="336"/>
      <c r="D88" s="336"/>
      <c r="E88" s="337"/>
      <c r="F88" s="339">
        <v>1</v>
      </c>
      <c r="H88" s="330"/>
      <c r="I88" s="367"/>
      <c r="J88" s="367"/>
      <c r="K88" s="367"/>
      <c r="L88" s="367"/>
      <c r="M88" s="370"/>
      <c r="N88" s="367"/>
      <c r="O88" s="345"/>
    </row>
    <row r="89" spans="1:15" ht="16.5" customHeight="1">
      <c r="A89" s="331"/>
      <c r="B89" s="333"/>
      <c r="C89" s="333"/>
      <c r="D89" s="333"/>
      <c r="E89" s="338"/>
      <c r="F89" s="340"/>
      <c r="H89" s="331"/>
      <c r="I89" s="368"/>
      <c r="J89" s="368"/>
      <c r="K89" s="368"/>
      <c r="L89" s="368"/>
      <c r="M89" s="371"/>
      <c r="N89" s="368"/>
      <c r="O89" s="346"/>
    </row>
    <row r="90" spans="1:15" ht="16.5" customHeight="1">
      <c r="A90" s="330"/>
      <c r="B90" s="336"/>
      <c r="C90" s="336"/>
      <c r="D90" s="336"/>
      <c r="E90" s="337"/>
      <c r="F90" s="339">
        <v>1</v>
      </c>
      <c r="H90" s="330"/>
      <c r="I90" s="367"/>
      <c r="J90" s="367"/>
      <c r="K90" s="367"/>
      <c r="L90" s="367"/>
      <c r="M90" s="370"/>
      <c r="N90" s="367"/>
      <c r="O90" s="345"/>
    </row>
    <row r="91" spans="1:15" ht="17.100000000000001" customHeight="1" thickBot="1">
      <c r="A91" s="331"/>
      <c r="B91" s="384"/>
      <c r="C91" s="384"/>
      <c r="D91" s="384"/>
      <c r="E91" s="460"/>
      <c r="F91" s="340"/>
      <c r="H91" s="376"/>
      <c r="I91" s="379"/>
      <c r="J91" s="379"/>
      <c r="K91" s="379"/>
      <c r="L91" s="379"/>
      <c r="M91" s="380"/>
      <c r="N91" s="379"/>
      <c r="O91" s="381"/>
    </row>
    <row r="92" spans="1:15">
      <c r="A92" s="34" t="s">
        <v>195</v>
      </c>
      <c r="B92" s="34" t="s">
        <v>196</v>
      </c>
      <c r="C92" s="35" t="s">
        <v>197</v>
      </c>
      <c r="D92" s="35" t="s">
        <v>198</v>
      </c>
      <c r="E92" s="377" t="s">
        <v>199</v>
      </c>
      <c r="F92" s="378"/>
      <c r="G92" s="28"/>
    </row>
    <row r="93" spans="1:15">
      <c r="A93" s="28"/>
      <c r="C93" s="28"/>
      <c r="D93" s="28"/>
      <c r="E93" s="28"/>
      <c r="F93" s="28"/>
      <c r="G93" s="28"/>
    </row>
    <row r="94" spans="1:15">
      <c r="C94" s="28"/>
      <c r="D94" s="28"/>
      <c r="E94" s="28"/>
      <c r="F94" s="28"/>
      <c r="G94" s="28"/>
      <c r="H94" s="28"/>
    </row>
  </sheetData>
  <mergeCells count="141">
    <mergeCell ref="F90:F91"/>
    <mergeCell ref="H90:H91"/>
    <mergeCell ref="F88:F89"/>
    <mergeCell ref="H88:H89"/>
    <mergeCell ref="O90:O91"/>
    <mergeCell ref="E92:F92"/>
    <mergeCell ref="I90:I91"/>
    <mergeCell ref="J90:J91"/>
    <mergeCell ref="K90:K91"/>
    <mergeCell ref="L90:L91"/>
    <mergeCell ref="M90:M91"/>
    <mergeCell ref="N90:N91"/>
    <mergeCell ref="M88:M89"/>
    <mergeCell ref="N88:N89"/>
    <mergeCell ref="O88:O89"/>
    <mergeCell ref="I88:I89"/>
    <mergeCell ref="J88:J89"/>
    <mergeCell ref="K88:K89"/>
    <mergeCell ref="L88:L89"/>
    <mergeCell ref="A88:A89"/>
    <mergeCell ref="B88:B89"/>
    <mergeCell ref="C88:C89"/>
    <mergeCell ref="D88:D89"/>
    <mergeCell ref="E88:E89"/>
    <mergeCell ref="A90:A91"/>
    <mergeCell ref="B90:B91"/>
    <mergeCell ref="C90:C91"/>
    <mergeCell ref="D90:D91"/>
    <mergeCell ref="E90:E91"/>
    <mergeCell ref="K84:K85"/>
    <mergeCell ref="L84:L85"/>
    <mergeCell ref="M84:M85"/>
    <mergeCell ref="N84:N85"/>
    <mergeCell ref="K86:K87"/>
    <mergeCell ref="L86:L87"/>
    <mergeCell ref="M86:M87"/>
    <mergeCell ref="N86:N87"/>
    <mergeCell ref="O86:O87"/>
    <mergeCell ref="A86:A87"/>
    <mergeCell ref="B86:B87"/>
    <mergeCell ref="C86:C87"/>
    <mergeCell ref="D86:D87"/>
    <mergeCell ref="E86:E87"/>
    <mergeCell ref="F86:F87"/>
    <mergeCell ref="H86:H87"/>
    <mergeCell ref="I86:I87"/>
    <mergeCell ref="J86:J87"/>
    <mergeCell ref="A82:A83"/>
    <mergeCell ref="B82:B83"/>
    <mergeCell ref="C82:C83"/>
    <mergeCell ref="D82:D83"/>
    <mergeCell ref="E82:E83"/>
    <mergeCell ref="M82:M83"/>
    <mergeCell ref="N82:N83"/>
    <mergeCell ref="O82:O83"/>
    <mergeCell ref="A84:A85"/>
    <mergeCell ref="B84:B85"/>
    <mergeCell ref="C84:C85"/>
    <mergeCell ref="D84:D85"/>
    <mergeCell ref="E84:E85"/>
    <mergeCell ref="F84:F85"/>
    <mergeCell ref="H84:H85"/>
    <mergeCell ref="F82:F83"/>
    <mergeCell ref="H82:H83"/>
    <mergeCell ref="I82:I83"/>
    <mergeCell ref="J82:J83"/>
    <mergeCell ref="K82:K83"/>
    <mergeCell ref="L82:L83"/>
    <mergeCell ref="O84:O85"/>
    <mergeCell ref="I84:I85"/>
    <mergeCell ref="J84:J85"/>
    <mergeCell ref="H78:O78"/>
    <mergeCell ref="A80:A81"/>
    <mergeCell ref="B80:B81"/>
    <mergeCell ref="C80:C81"/>
    <mergeCell ref="D80:D81"/>
    <mergeCell ref="E80:E81"/>
    <mergeCell ref="F80:F81"/>
    <mergeCell ref="H80:H81"/>
    <mergeCell ref="I80:I81"/>
    <mergeCell ref="J80:J81"/>
    <mergeCell ref="K80:K81"/>
    <mergeCell ref="L80:L81"/>
    <mergeCell ref="M80:M81"/>
    <mergeCell ref="N80:N81"/>
    <mergeCell ref="O80:O81"/>
    <mergeCell ref="G20:G21"/>
    <mergeCell ref="A40:E40"/>
    <mergeCell ref="A42:B42"/>
    <mergeCell ref="A43:A44"/>
    <mergeCell ref="B43:F43"/>
    <mergeCell ref="A78:F78"/>
    <mergeCell ref="A20:A21"/>
    <mergeCell ref="B20:B21"/>
    <mergeCell ref="C20:C21"/>
    <mergeCell ref="D20:D21"/>
    <mergeCell ref="E20:E21"/>
    <mergeCell ref="F20:F21"/>
    <mergeCell ref="A18:A19"/>
    <mergeCell ref="B18:B19"/>
    <mergeCell ref="C18:C19"/>
    <mergeCell ref="D18:D19"/>
    <mergeCell ref="E18:E19"/>
    <mergeCell ref="F18:F19"/>
    <mergeCell ref="G18:G19"/>
    <mergeCell ref="A16:A17"/>
    <mergeCell ref="B16:B17"/>
    <mergeCell ref="F16:F17"/>
    <mergeCell ref="C16:C17"/>
    <mergeCell ref="D16:D17"/>
    <mergeCell ref="E16:E17"/>
    <mergeCell ref="G16:G17"/>
    <mergeCell ref="G10:G11"/>
    <mergeCell ref="A14:A15"/>
    <mergeCell ref="B14:B15"/>
    <mergeCell ref="A10:A11"/>
    <mergeCell ref="B10:B11"/>
    <mergeCell ref="C10:C11"/>
    <mergeCell ref="D10:D11"/>
    <mergeCell ref="E10:E11"/>
    <mergeCell ref="F10:F11"/>
    <mergeCell ref="F14:F15"/>
    <mergeCell ref="C14:C15"/>
    <mergeCell ref="D14:D15"/>
    <mergeCell ref="E14:E15"/>
    <mergeCell ref="G14:G15"/>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s>
  <conditionalFormatting sqref="A80:A91">
    <cfRule type="containsBlanks" dxfId="462" priority="21">
      <formula>LEN(TRIM(A80))=0</formula>
    </cfRule>
  </conditionalFormatting>
  <conditionalFormatting sqref="A45:F45 B46:F46 A48:F48 B49:F49 A51:F51 B52:F52 A54:F54 B55:F55 A57:F57 B58:F58 A60:F60 B61:F61">
    <cfRule type="containsBlanks" dxfId="461" priority="20">
      <formula>LEN(TRIM(A45))=0</formula>
    </cfRule>
  </conditionalFormatting>
  <conditionalFormatting sqref="A6:G6">
    <cfRule type="containsBlanks" dxfId="460" priority="16">
      <formula>LEN(TRIM(A6))=0</formula>
    </cfRule>
  </conditionalFormatting>
  <conditionalFormatting sqref="A8:G8">
    <cfRule type="containsBlanks" dxfId="459" priority="15">
      <formula>LEN(TRIM(A8))=0</formula>
    </cfRule>
  </conditionalFormatting>
  <conditionalFormatting sqref="A10:G10">
    <cfRule type="containsBlanks" dxfId="458" priority="14">
      <formula>LEN(TRIM(A10))=0</formula>
    </cfRule>
  </conditionalFormatting>
  <conditionalFormatting sqref="A14:G14">
    <cfRule type="containsBlanks" dxfId="457" priority="8">
      <formula>LEN(TRIM(A14))=0</formula>
    </cfRule>
  </conditionalFormatting>
  <conditionalFormatting sqref="A16:G16">
    <cfRule type="containsBlanks" dxfId="456" priority="7">
      <formula>LEN(TRIM(A16))=0</formula>
    </cfRule>
  </conditionalFormatting>
  <conditionalFormatting sqref="A18:G18">
    <cfRule type="containsBlanks" dxfId="455" priority="6">
      <formula>LEN(TRIM(A18))=0</formula>
    </cfRule>
  </conditionalFormatting>
  <conditionalFormatting sqref="A20:G20">
    <cfRule type="containsBlanks" dxfId="454" priority="10">
      <formula>LEN(TRIM(A20))=0</formula>
    </cfRule>
  </conditionalFormatting>
  <conditionalFormatting sqref="B80:E80 B82:E82 B84:E84 B86:E86 B88:E88 B90:E90">
    <cfRule type="containsBlanks" dxfId="453" priority="29">
      <formula>LEN(TRIM(B80))=0</formula>
    </cfRule>
  </conditionalFormatting>
  <conditionalFormatting sqref="D1 F1">
    <cfRule type="containsBlanks" dxfId="452" priority="36">
      <formula>LEN(TRIM(D1))=0</formula>
    </cfRule>
  </conditionalFormatting>
  <conditionalFormatting sqref="F80 F82 F84 F86 F88 F90">
    <cfRule type="iconSet" priority="34">
      <iconSet iconSet="5Quarters" showValue="0">
        <cfvo type="percent" val="0"/>
        <cfvo type="num" val="2"/>
        <cfvo type="num" val="3"/>
        <cfvo type="num" val="4"/>
        <cfvo type="num" val="5"/>
      </iconSet>
    </cfRule>
    <cfRule type="expression" dxfId="451" priority="35">
      <formula>AND(#REF!&lt;&gt;"",E80&lt;TODAY(),F80&lt;4)</formula>
    </cfRule>
  </conditionalFormatting>
  <conditionalFormatting sqref="H80">
    <cfRule type="containsBlanks" dxfId="450" priority="9">
      <formula>LEN(TRIM(H80))=0</formula>
    </cfRule>
  </conditionalFormatting>
  <conditionalFormatting sqref="H82:H91">
    <cfRule type="containsBlanks" dxfId="449" priority="19">
      <formula>LEN(TRIM(H82))=0</formula>
    </cfRule>
  </conditionalFormatting>
  <conditionalFormatting sqref="I15:J15 I17:T17 I21:T21 I7:T7 I9:T9 I11:T11">
    <cfRule type="expression" dxfId="448" priority="24">
      <formula>AND(OR($F6="Lower the better", $F6="Lower the Better"), I7&gt;I6)</formula>
    </cfRule>
  </conditionalFormatting>
  <conditionalFormatting sqref="I19:N19">
    <cfRule type="expression" dxfId="447" priority="5" stopIfTrue="1">
      <formula>AND(OR($F18="Higher the better", $F18="Higher the Better"), I19&gt;=I18)</formula>
    </cfRule>
  </conditionalFormatting>
  <conditionalFormatting sqref="I80:O80 I84:O84 I86:O86 I88:O88 I90:O90 I82:O82">
    <cfRule type="containsBlanks" dxfId="446" priority="28">
      <formula>LEN(TRIM(I80))=0</formula>
    </cfRule>
  </conditionalFormatting>
  <conditionalFormatting sqref="I7:T7 I9:T9 I11:T11 I15:J15 I17:T17 I21:T21 O19:T19">
    <cfRule type="expression" dxfId="445" priority="27">
      <formula>AND(OR($F6="Higher the better", $F6="Higher the Better"), I7&gt;=I6)</formula>
    </cfRule>
  </conditionalFormatting>
  <conditionalFormatting sqref="I7:T7 I9:T9 I11:T11 I15:J15 I17:T17 I21:T21">
    <cfRule type="expression" dxfId="444" priority="25">
      <formula>AND(OR($F6="Lower the better", $F6="Lower the Better"), I7&lt;=I6)</formula>
    </cfRule>
    <cfRule type="expression" dxfId="443" priority="26">
      <formula>AND(OR($F6="Higher the better", $F6="Higher the Better"), I7&lt;I6)</formula>
    </cfRule>
  </conditionalFormatting>
  <conditionalFormatting sqref="I7:T7 I9:T9 I11:T11">
    <cfRule type="containsBlanks" dxfId="442" priority="22">
      <formula>LEN(TRIM(I7))=0</formula>
    </cfRule>
  </conditionalFormatting>
  <conditionalFormatting sqref="I15:T15 I17:T17 I21:T21">
    <cfRule type="containsBlanks" dxfId="441" priority="23">
      <formula>LEN(TRIM(I15))=0</formula>
    </cfRule>
  </conditionalFormatting>
  <conditionalFormatting sqref="I15:T15">
    <cfRule type="expression" dxfId="440" priority="30">
      <formula>AND(OR($F14="Lower the better", $F14="Lower the Better"), I15&gt;I14)</formula>
    </cfRule>
    <cfRule type="expression" dxfId="439" priority="31">
      <formula>AND(OR($F14="Lower the better", $F14="Lower the Better"), I15&lt;=I14)</formula>
    </cfRule>
    <cfRule type="expression" dxfId="438" priority="32">
      <formula>AND(OR($F14="Higher the better", $F14="Higher the Better"), I15&lt;I14)</formula>
    </cfRule>
    <cfRule type="expression" dxfId="437" priority="33" stopIfTrue="1">
      <formula>AND(OR($F14="Higher the better", $F14="Higher the Better"), I15&gt;=I14)</formula>
    </cfRule>
  </conditionalFormatting>
  <conditionalFormatting sqref="I19:T19">
    <cfRule type="expression" dxfId="436" priority="2">
      <formula>AND(OR($F18="Lower the better", $F18="Lower the Better"), I19&gt;I18)</formula>
    </cfRule>
    <cfRule type="expression" dxfId="435" priority="3">
      <formula>AND(OR($F18="Lower the better", $F18="Lower the Better"), I19&lt;=I18)</formula>
    </cfRule>
    <cfRule type="expression" dxfId="434" priority="4">
      <formula>AND(OR($F18="Higher the better", $F18="Higher the Better"), I19&lt;I18)</formula>
    </cfRule>
    <cfRule type="containsBlanks" dxfId="433" priority="1">
      <formula>LEN(TRIM(I19))=0</formula>
    </cfRule>
  </conditionalFormatting>
  <conditionalFormatting sqref="M80:M81 M84:M91">
    <cfRule type="containsText" dxfId="432" priority="17" operator="containsText" text="No">
      <formula>NOT(ISERROR(SEARCH("No",M80)))</formula>
    </cfRule>
    <cfRule type="containsText" dxfId="431" priority="18" operator="containsText" text="Yes">
      <formula>NOT(ISERROR(SEARCH("Yes",M80)))</formula>
    </cfRule>
  </conditionalFormatting>
  <dataValidations count="7">
    <dataValidation type="list" allowBlank="1" showInputMessage="1" showErrorMessage="1" sqref="E6:E11 E14 E16 E18:E21" xr:uid="{F8669435-C865-43EE-A792-686CF5AF5982}">
      <formula1>"%, Mn, No., "</formula1>
    </dataValidation>
    <dataValidation type="list" allowBlank="1" showInputMessage="1" showErrorMessage="1" sqref="B1:B2" xr:uid="{D8CA4E66-D2D5-41C9-96BE-F7AAB1CE0E8E}">
      <formula1>"Jan-2026, Feb-2026, Mar-2026, Apr-2026, May-2026, Jun-2026, Jul-2026, Aug-2026, Sep-2026, Oct-2026, Nov-2026, Dec-2026"</formula1>
    </dataValidation>
    <dataValidation type="list" allowBlank="1" showInputMessage="1" showErrorMessage="1" sqref="M80 M90 M84 M86 M88" xr:uid="{984254B6-BC56-4393-967E-89F6AAB89F42}">
      <formula1>"Yes, No"</formula1>
    </dataValidation>
    <dataValidation type="list" allowBlank="1" showInputMessage="1" showErrorMessage="1" sqref="C6:C11 C14 C16 C18:C21" xr:uid="{CACDEE7D-9B5A-43DB-BA5B-8F82D2AF68A2}">
      <formula1>"&gt;, &lt;, &gt;=, &lt;=, ="</formula1>
    </dataValidation>
    <dataValidation type="list" allowBlank="1" showInputMessage="1" showErrorMessage="1" sqref="G6:G11 G14 G16 G18:G21" xr:uid="{6CE73A50-4424-4C1D-B110-3301FC170DBA}">
      <formula1>"Monthly, Quarterly, Half yearly"</formula1>
    </dataValidation>
    <dataValidation type="list" allowBlank="1" showInputMessage="1" showErrorMessage="1" sqref="F6:F11 F14 F16 F18:F21" xr:uid="{5EF7AD19-75CA-4C81-8EDD-44AC5ACB2281}">
      <formula1>"Higher the better, Lower the better"</formula1>
    </dataValidation>
    <dataValidation type="list" allowBlank="1" showInputMessage="1" showErrorMessage="1" sqref="F80:G80 F82:G82 F84:G84 F86:G86 F88:G88 F90:G90" xr:uid="{42E24B94-D28E-4407-BFF5-6F89F7C9D0C4}">
      <formula1>"1,2,3,4,5"</formula1>
    </dataValidation>
  </dataValidations>
  <pageMargins left="0.7" right="0.7" top="0.75" bottom="0.75" header="0.3" footer="0.3"/>
  <pageSetup orientation="portrait" r:id="rId1"/>
  <customProperties>
    <customPr name="_pios_id" r:id="rId2"/>
  </customProperties>
  <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2600A-E3BA-495D-BC8A-D25748BE890B}">
  <sheetPr codeName="Sheet7"/>
  <dimension ref="A1:AI144"/>
  <sheetViews>
    <sheetView zoomScaleNormal="100" workbookViewId="0">
      <pane xSplit="2" ySplit="5" topLeftCell="F19" activePane="bottomRight" state="frozen"/>
      <selection pane="bottomRight" activeCell="H2" sqref="H2"/>
      <selection pane="bottomLeft" activeCell="A6" sqref="A6"/>
      <selection pane="topRight" activeCell="C1" sqref="C1"/>
    </sheetView>
  </sheetViews>
  <sheetFormatPr defaultRowHeight="14.45"/>
  <cols>
    <col min="1" max="1" width="25.5703125" customWidth="1"/>
    <col min="2" max="2" width="44.5703125" style="28" customWidth="1"/>
    <col min="3" max="3" width="25.42578125" customWidth="1"/>
    <col min="4" max="4" width="17.42578125" customWidth="1"/>
    <col min="5" max="5" width="21.5703125" customWidth="1"/>
    <col min="6" max="6" width="20.5703125" customWidth="1"/>
    <col min="7" max="7" width="12" customWidth="1"/>
    <col min="8" max="8" width="14.5703125"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4" width="8.5703125" hidden="1" customWidth="1"/>
    <col min="25" max="25" width="14.42578125" hidden="1" customWidth="1"/>
    <col min="26" max="35" width="8.5703125" hidden="1" customWidth="1"/>
    <col min="36" max="49" width="8.5703125" customWidth="1"/>
  </cols>
  <sheetData>
    <row r="1" spans="1:35" ht="19.350000000000001" customHeight="1">
      <c r="A1" s="12" t="s">
        <v>0</v>
      </c>
      <c r="B1" s="30">
        <v>46023</v>
      </c>
      <c r="C1" s="12" t="s">
        <v>88</v>
      </c>
      <c r="D1" s="12" t="s">
        <v>343</v>
      </c>
      <c r="E1" s="12" t="s">
        <v>89</v>
      </c>
      <c r="F1" s="39"/>
      <c r="W1" t="s">
        <v>90</v>
      </c>
      <c r="X1" t="e">
        <f>IF(I15&lt;&gt;"",IF($F14="Higher the better",IF(I15&gt;=I14,I15,NA()),IF(I15&lt;=I14,I15,NA())),NA())</f>
        <v>#N/A</v>
      </c>
      <c r="Y1" t="e">
        <f t="shared" ref="Y1:AI1" si="0">IF(J15&lt;&gt;"",IF($F14="Higher the better",IF(J15&gt;=J14,J15,NA()),IF(J15&lt;=J14,J15,NA())),NA())</f>
        <v>#N/A</v>
      </c>
      <c r="Z1" t="e">
        <f t="shared" si="0"/>
        <v>#N/A</v>
      </c>
      <c r="AA1" t="e">
        <f t="shared" si="0"/>
        <v>#N/A</v>
      </c>
      <c r="AB1" t="e">
        <f t="shared" si="0"/>
        <v>#N/A</v>
      </c>
      <c r="AC1" t="e">
        <f t="shared" si="0"/>
        <v>#N/A</v>
      </c>
      <c r="AD1">
        <f t="shared" si="0"/>
        <v>75</v>
      </c>
      <c r="AE1">
        <f t="shared" si="0"/>
        <v>75</v>
      </c>
      <c r="AF1" t="e">
        <f t="shared" si="0"/>
        <v>#N/A</v>
      </c>
      <c r="AG1" t="e">
        <f t="shared" si="0"/>
        <v>#N/A</v>
      </c>
      <c r="AH1" t="e">
        <f t="shared" si="0"/>
        <v>#N/A</v>
      </c>
      <c r="AI1" t="e">
        <f t="shared" si="0"/>
        <v>#N/A</v>
      </c>
    </row>
    <row r="2" spans="1:35" ht="19.350000000000001" customHeight="1">
      <c r="A2" s="13"/>
      <c r="B2" s="37"/>
      <c r="D2" s="13"/>
      <c r="E2" s="13"/>
      <c r="W2" t="s">
        <v>91</v>
      </c>
      <c r="X2">
        <f>IF(I15&lt;&gt;"",IF($F14="Higher the better",IF(I15&lt;I14,I15,NA()),IF(I15&gt;I14,I15,NA())),NA())</f>
        <v>54</v>
      </c>
      <c r="Y2">
        <f t="shared" ref="Y2:AI2" si="1">IF(J15&lt;&gt;"",IF($F14="Higher the better",IF(J15&lt;J14,J15,NA()),IF(J15&gt;J14,J15,NA())),NA())</f>
        <v>58</v>
      </c>
      <c r="Z2">
        <f t="shared" si="1"/>
        <v>64</v>
      </c>
      <c r="AA2">
        <f t="shared" si="1"/>
        <v>68</v>
      </c>
      <c r="AB2">
        <f t="shared" si="1"/>
        <v>68</v>
      </c>
      <c r="AC2">
        <f t="shared" si="1"/>
        <v>73</v>
      </c>
      <c r="AD2" t="e">
        <f t="shared" si="1"/>
        <v>#N/A</v>
      </c>
      <c r="AE2" t="e">
        <f t="shared" si="1"/>
        <v>#N/A</v>
      </c>
      <c r="AF2" t="e">
        <f t="shared" si="1"/>
        <v>#N/A</v>
      </c>
      <c r="AG2" t="e">
        <f t="shared" si="1"/>
        <v>#N/A</v>
      </c>
      <c r="AH2" t="e">
        <f t="shared" si="1"/>
        <v>#N/A</v>
      </c>
      <c r="AI2" t="e">
        <f t="shared" si="1"/>
        <v>#N/A</v>
      </c>
    </row>
    <row r="3" spans="1:35" ht="20.100000000000001" customHeight="1">
      <c r="A3" s="347" t="s">
        <v>344</v>
      </c>
      <c r="B3" s="347"/>
      <c r="W3" t="s">
        <v>90</v>
      </c>
      <c r="X3">
        <f t="shared" ref="X3" si="2">IF(I17&lt;&gt;"",IF($F16="Higher the better",IF(I17&gt;=I16,I17,NA()),IF(I17&lt;=I16,I17,NA())),NA())</f>
        <v>100</v>
      </c>
      <c r="Y3" t="e">
        <f t="shared" ref="Y3" si="3">IF(J17&lt;&gt;"",IF($F16="Higher the better",IF(J17&gt;=J16,J17,NA()),IF(J17&lt;=J16,J17,NA())),NA())</f>
        <v>#N/A</v>
      </c>
      <c r="Z3">
        <f t="shared" ref="Z3" si="4">IF(K17&lt;&gt;"",IF($F16="Higher the better",IF(K17&gt;=K16,K17,NA()),IF(K17&lt;=K16,K17,NA())),NA())</f>
        <v>95</v>
      </c>
      <c r="AA3" t="e">
        <f t="shared" ref="AA3" si="5">IF(L17&lt;&gt;"",IF($F16="Higher the better",IF(L17&gt;=L16,L17,NA()),IF(L17&lt;=L16,L17,NA())),NA())</f>
        <v>#N/A</v>
      </c>
      <c r="AB3" t="e">
        <f t="shared" ref="AB3" si="6">IF(M17&lt;&gt;"",IF($F16="Higher the better",IF(M17&gt;=M16,M17,NA()),IF(M17&lt;=M16,M17,NA())),NA())</f>
        <v>#N/A</v>
      </c>
      <c r="AC3" t="e">
        <f t="shared" ref="AC3" si="7">IF(N17&lt;&gt;"",IF($F16="Higher the better",IF(N17&gt;=N16,N17,NA()),IF(N17&lt;=N16,N17,NA())),NA())</f>
        <v>#N/A</v>
      </c>
      <c r="AD3">
        <f t="shared" ref="AD3" si="8">IF(O17&lt;&gt;"",IF($F16="Higher the better",IF(O17&gt;=O16,O17,NA()),IF(O17&lt;=O16,O17,NA())),NA())</f>
        <v>95</v>
      </c>
      <c r="AE3">
        <f t="shared" ref="AE3" si="9">IF(P17&lt;&gt;"",IF($F16="Higher the better",IF(P17&gt;=P16,P17,NA()),IF(P17&lt;=P16,P17,NA())),NA())</f>
        <v>95</v>
      </c>
      <c r="AF3" t="e">
        <f t="shared" ref="AF3" si="10">IF(Q17&lt;&gt;"",IF($F16="Higher the better",IF(Q17&gt;=Q16,Q17,NA()),IF(Q17&lt;=Q16,Q17,NA())),NA())</f>
        <v>#N/A</v>
      </c>
      <c r="AG3" t="e">
        <f t="shared" ref="AG3" si="11">IF(R17&lt;&gt;"",IF($F16="Higher the better",IF(R17&gt;=R16,R17,NA()),IF(R17&lt;=R16,R17,NA())),NA())</f>
        <v>#N/A</v>
      </c>
      <c r="AH3" t="e">
        <f t="shared" ref="AH3" si="12">IF(S17&lt;&gt;"",IF($F16="Higher the better",IF(S17&gt;=S16,S17,NA()),IF(S17&lt;=S16,S17,NA())),NA())</f>
        <v>#N/A</v>
      </c>
      <c r="AI3" t="e">
        <f t="shared" ref="AI3" si="13">IF(T17&lt;&gt;"",IF($F16="Higher the better",IF(T17&gt;=T16,T17,NA()),IF(T17&lt;=T16,T17,NA())),NA())</f>
        <v>#N/A</v>
      </c>
    </row>
    <row r="4" spans="1:35" ht="18.600000000000001" customHeight="1">
      <c r="A4" s="11" t="s">
        <v>93</v>
      </c>
      <c r="B4" s="11"/>
      <c r="W4" t="s">
        <v>91</v>
      </c>
      <c r="X4" t="e">
        <f t="shared" ref="X4" si="14">IF(I17&lt;&gt;"",IF($F16="Higher the better",IF(I17&lt;I16,I17,NA()),IF(I17&gt;I16,I17,NA())),NA())</f>
        <v>#N/A</v>
      </c>
      <c r="Y4">
        <f t="shared" ref="Y4" si="15">IF(J17&lt;&gt;"",IF($F16="Higher the better",IF(J17&lt;J16,J17,NA()),IF(J17&gt;J16,J17,NA())),NA())</f>
        <v>90</v>
      </c>
      <c r="Z4" t="e">
        <f t="shared" ref="Z4" si="16">IF(K17&lt;&gt;"",IF($F16="Higher the better",IF(K17&lt;K16,K17,NA()),IF(K17&gt;K16,K17,NA())),NA())</f>
        <v>#N/A</v>
      </c>
      <c r="AA4">
        <f t="shared" ref="AA4" si="17">IF(L17&lt;&gt;"",IF($F16="Higher the better",IF(L17&lt;L16,L17,NA()),IF(L17&gt;L16,L17,NA())),NA())</f>
        <v>93</v>
      </c>
      <c r="AB4">
        <f t="shared" ref="AB4" si="18">IF(M17&lt;&gt;"",IF($F16="Higher the better",IF(M17&lt;M16,M17,NA()),IF(M17&gt;M16,M17,NA())),NA())</f>
        <v>94</v>
      </c>
      <c r="AC4">
        <f t="shared" ref="AC4" si="19">IF(N17&lt;&gt;"",IF($F16="Higher the better",IF(N17&lt;N16,N17,NA()),IF(N17&gt;N16,N17,NA())),NA())</f>
        <v>90</v>
      </c>
      <c r="AD4" t="e">
        <f t="shared" ref="AD4" si="20">IF(O17&lt;&gt;"",IF($F16="Higher the better",IF(O17&lt;O16,O17,NA()),IF(O17&gt;O16,O17,NA())),NA())</f>
        <v>#N/A</v>
      </c>
      <c r="AE4" t="e">
        <f t="shared" ref="AE4" si="21">IF(P17&lt;&gt;"",IF($F16="Higher the better",IF(P17&lt;P16,P17,NA()),IF(P17&gt;P16,P17,NA())),NA())</f>
        <v>#N/A</v>
      </c>
      <c r="AF4" t="e">
        <f t="shared" ref="AF4" si="22">IF(Q17&lt;&gt;"",IF($F16="Higher the better",IF(Q17&lt;Q16,Q17,NA()),IF(Q17&gt;Q16,Q17,NA())),NA())</f>
        <v>#N/A</v>
      </c>
      <c r="AG4" t="e">
        <f t="shared" ref="AG4" si="23">IF(R17&lt;&gt;"",IF($F16="Higher the better",IF(R17&lt;R16,R17,NA()),IF(R17&gt;R16,R17,NA())),NA())</f>
        <v>#N/A</v>
      </c>
      <c r="AH4" t="e">
        <f t="shared" ref="AH4" si="24">IF(S17&lt;&gt;"",IF($F16="Higher the better",IF(S17&lt;S16,S17,NA()),IF(S17&gt;S16,S17,NA())),NA())</f>
        <v>#N/A</v>
      </c>
      <c r="AI4" t="e">
        <f t="shared" ref="AI4" si="25">IF(T17&lt;&gt;"",IF($F16="Higher the better",IF(T17&lt;T16,T17,NA()),IF(T17&gt;T16,T17,NA())),NA())</f>
        <v>#N/A</v>
      </c>
    </row>
    <row r="5" spans="1:35"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t="e">
        <f t="shared" ref="X5" si="26">IF(I19&lt;&gt;"",IF($F18="Higher the better",IF(I19&gt;=I18,I19,NA()),IF(I19&lt;=I18,I19,NA())),NA())</f>
        <v>#N/A</v>
      </c>
      <c r="Y5" t="e">
        <f t="shared" ref="Y5" si="27">IF(J19&lt;&gt;"",IF($F18="Higher the better",IF(J19&gt;=J18,J19,NA()),IF(J19&lt;=J18,J19,NA())),NA())</f>
        <v>#N/A</v>
      </c>
      <c r="Z5" t="e">
        <f t="shared" ref="Z5" si="28">IF(K19&lt;&gt;"",IF($F18="Higher the better",IF(K19&gt;=K18,K19,NA()),IF(K19&lt;=K18,K19,NA())),NA())</f>
        <v>#N/A</v>
      </c>
      <c r="AA5" t="e">
        <f t="shared" ref="AA5" si="29">IF(L19&lt;&gt;"",IF($F18="Higher the better",IF(L19&gt;=L18,L19,NA()),IF(L19&lt;=L18,L19,NA())),NA())</f>
        <v>#N/A</v>
      </c>
      <c r="AB5" t="e">
        <f t="shared" ref="AB5" si="30">IF(M19&lt;&gt;"",IF($F18="Higher the better",IF(M19&gt;=M18,M19,NA()),IF(M19&lt;=M18,M19,NA())),NA())</f>
        <v>#N/A</v>
      </c>
      <c r="AC5" t="e">
        <f t="shared" ref="AC5" si="31">IF(N19&lt;&gt;"",IF($F18="Higher the better",IF(N19&gt;=N18,N19,NA()),IF(N19&lt;=N18,N19,NA())),NA())</f>
        <v>#N/A</v>
      </c>
      <c r="AD5" t="e">
        <f t="shared" ref="AD5" si="32">IF(O19&lt;&gt;"",IF($F18="Higher the better",IF(O19&gt;=O18,O19,NA()),IF(O19&lt;=O18,O19,NA())),NA())</f>
        <v>#N/A</v>
      </c>
      <c r="AE5" t="e">
        <f t="shared" ref="AE5" si="33">IF(P19&lt;&gt;"",IF($F18="Higher the better",IF(P19&gt;=P18,P19,NA()),IF(P19&lt;=P18,P19,NA())),NA())</f>
        <v>#N/A</v>
      </c>
      <c r="AF5" t="e">
        <f t="shared" ref="AF5" si="34">IF(Q19&lt;&gt;"",IF($F18="Higher the better",IF(Q19&gt;=Q18,Q19,NA()),IF(Q19&lt;=Q18,Q19,NA())),NA())</f>
        <v>#N/A</v>
      </c>
      <c r="AG5" t="e">
        <f t="shared" ref="AG5" si="35">IF(R19&lt;&gt;"",IF($F18="Higher the better",IF(R19&gt;=R18,R19,NA()),IF(R19&lt;=R18,R19,NA())),NA())</f>
        <v>#N/A</v>
      </c>
      <c r="AH5" t="e">
        <f t="shared" ref="AH5" si="36">IF(S19&lt;&gt;"",IF($F18="Higher the better",IF(S19&gt;=S18,S19,NA()),IF(S19&lt;=S18,S19,NA())),NA())</f>
        <v>#N/A</v>
      </c>
      <c r="AI5" t="e">
        <f t="shared" ref="AI5" si="37">IF(T19&lt;&gt;"",IF($F18="Higher the better",IF(T19&gt;=T18,T19,NA()),IF(T19&lt;=T18,T19,NA())),NA())</f>
        <v>#N/A</v>
      </c>
    </row>
    <row r="6" spans="1:35" ht="14.85" customHeight="1">
      <c r="A6" s="514" t="s">
        <v>345</v>
      </c>
      <c r="B6" s="516" t="s">
        <v>346</v>
      </c>
      <c r="C6" s="485" t="s">
        <v>97</v>
      </c>
      <c r="D6" s="518">
        <v>90</v>
      </c>
      <c r="E6" s="328" t="s">
        <v>98</v>
      </c>
      <c r="F6" s="336" t="s">
        <v>99</v>
      </c>
      <c r="G6" s="328" t="s">
        <v>55</v>
      </c>
      <c r="H6" s="14" t="s">
        <v>29</v>
      </c>
      <c r="I6" s="44">
        <v>90</v>
      </c>
      <c r="J6" s="44">
        <v>90</v>
      </c>
      <c r="K6" s="44">
        <v>90</v>
      </c>
      <c r="L6" s="44">
        <v>90</v>
      </c>
      <c r="M6" s="44">
        <v>90</v>
      </c>
      <c r="N6" s="44">
        <v>90</v>
      </c>
      <c r="O6" s="44">
        <v>90</v>
      </c>
      <c r="P6" s="44">
        <v>90</v>
      </c>
      <c r="Q6" s="44">
        <v>90</v>
      </c>
      <c r="R6" s="44">
        <v>90</v>
      </c>
      <c r="S6" s="44">
        <v>90</v>
      </c>
      <c r="T6" s="44">
        <v>90</v>
      </c>
      <c r="W6" t="s">
        <v>91</v>
      </c>
      <c r="X6">
        <f t="shared" ref="X6" si="38">IF(I19&lt;&gt;"",IF($F18="Higher the better",IF(I19&lt;I18,I19,NA()),IF(I19&gt;I18,I19,NA())),NA())</f>
        <v>5</v>
      </c>
      <c r="Y6">
        <f t="shared" ref="Y6" si="39">IF(J19&lt;&gt;"",IF($F18="Higher the better",IF(J19&lt;J18,J19,NA()),IF(J19&gt;J18,J19,NA())),NA())</f>
        <v>6</v>
      </c>
      <c r="Z6">
        <f t="shared" ref="Z6" si="40">IF(K19&lt;&gt;"",IF($F18="Higher the better",IF(K19&lt;K18,K19,NA()),IF(K19&gt;K18,K19,NA())),NA())</f>
        <v>7</v>
      </c>
      <c r="AA6">
        <f t="shared" ref="AA6" si="41">IF(L19&lt;&gt;"",IF($F18="Higher the better",IF(L19&lt;L18,L19,NA()),IF(L19&gt;L18,L19,NA())),NA())</f>
        <v>18</v>
      </c>
      <c r="AB6">
        <f t="shared" ref="AB6" si="42">IF(M19&lt;&gt;"",IF($F18="Higher the better",IF(M19&lt;M18,M19,NA()),IF(M19&gt;M18,M19,NA())),NA())</f>
        <v>33</v>
      </c>
      <c r="AC6">
        <f t="shared" ref="AC6" si="43">IF(N19&lt;&gt;"",IF($F18="Higher the better",IF(N19&lt;N18,N19,NA()),IF(N19&gt;N18,N19,NA())),NA())</f>
        <v>64</v>
      </c>
      <c r="AD6">
        <f t="shared" ref="AD6" si="44">IF(O19&lt;&gt;"",IF($F18="Higher the better",IF(O19&lt;O18,O19,NA()),IF(O19&gt;O18,O19,NA())),NA())</f>
        <v>64</v>
      </c>
      <c r="AE6">
        <f t="shared" ref="AE6" si="45">IF(P19&lt;&gt;"",IF($F18="Higher the better",IF(P19&lt;P18,P19,NA()),IF(P19&gt;P18,P19,NA())),NA())</f>
        <v>68</v>
      </c>
      <c r="AF6" t="e">
        <f t="shared" ref="AF6" si="46">IF(Q19&lt;&gt;"",IF($F18="Higher the better",IF(Q19&lt;Q18,Q19,NA()),IF(Q19&gt;Q18,Q19,NA())),NA())</f>
        <v>#N/A</v>
      </c>
      <c r="AG6" t="e">
        <f t="shared" ref="AG6" si="47">IF(R19&lt;&gt;"",IF($F18="Higher the better",IF(R19&lt;R18,R19,NA()),IF(R19&gt;R18,R19,NA())),NA())</f>
        <v>#N/A</v>
      </c>
      <c r="AH6" t="e">
        <f t="shared" ref="AH6" si="48">IF(S19&lt;&gt;"",IF($F18="Higher the better",IF(S19&lt;S18,S19,NA()),IF(S19&gt;S18,S19,NA())),NA())</f>
        <v>#N/A</v>
      </c>
      <c r="AI6" t="e">
        <f t="shared" ref="AI6" si="49">IF(T19&lt;&gt;"",IF($F18="Higher the better",IF(T19&lt;T18,T19,NA()),IF(T19&gt;T18,T19,NA())),NA())</f>
        <v>#N/A</v>
      </c>
    </row>
    <row r="7" spans="1:35">
      <c r="A7" s="515"/>
      <c r="B7" s="517"/>
      <c r="C7" s="486"/>
      <c r="D7" s="486"/>
      <c r="E7" s="329"/>
      <c r="F7" s="333"/>
      <c r="G7" s="329"/>
      <c r="H7" s="14" t="s">
        <v>30</v>
      </c>
      <c r="I7" s="45">
        <v>60</v>
      </c>
      <c r="J7" s="45">
        <v>64</v>
      </c>
      <c r="K7" s="45">
        <v>67</v>
      </c>
      <c r="L7" s="45">
        <v>72</v>
      </c>
      <c r="M7" s="45">
        <v>77</v>
      </c>
      <c r="N7" s="45">
        <v>91</v>
      </c>
      <c r="O7" s="45">
        <v>93</v>
      </c>
      <c r="P7" s="45">
        <v>94</v>
      </c>
      <c r="Q7" s="45"/>
      <c r="R7" s="45"/>
      <c r="S7" s="45"/>
      <c r="T7" s="45"/>
      <c r="W7" t="s">
        <v>90</v>
      </c>
      <c r="X7">
        <f t="shared" ref="X7" si="50">IF(I27&lt;&gt;"",IF($F26="Higher the better",IF(I27&gt;=I26,I27,NA()),IF(I27&lt;=I26,I27,NA())),NA())</f>
        <v>86</v>
      </c>
      <c r="Y7">
        <f t="shared" ref="Y7" si="51">IF(J27&lt;&gt;"",IF($F26="Higher the better",IF(J27&gt;=J26,J27,NA()),IF(J27&lt;=J26,J27,NA())),NA())</f>
        <v>88</v>
      </c>
      <c r="Z7">
        <f t="shared" ref="Z7" si="52">IF(K27&lt;&gt;"",IF($F26="Higher the better",IF(K27&gt;=K26,K27,NA()),IF(K27&lt;=K26,K27,NA())),NA())</f>
        <v>100</v>
      </c>
      <c r="AA7">
        <f t="shared" ref="AA7" si="53">IF(L27&lt;&gt;"",IF($F26="Higher the better",IF(L27&gt;=L26,L27,NA()),IF(L27&lt;=L26,L27,NA())),NA())</f>
        <v>100</v>
      </c>
      <c r="AB7">
        <f t="shared" ref="AB7" si="54">IF(M27&lt;&gt;"",IF($F26="Higher the better",IF(M27&gt;=M26,M27,NA()),IF(M27&lt;=M26,M27,NA())),NA())</f>
        <v>87.5</v>
      </c>
      <c r="AC7">
        <f t="shared" ref="AC7" si="55">IF(N27&lt;&gt;"",IF($F26="Higher the better",IF(N27&gt;=N26,N27,NA()),IF(N27&lt;=N26,N27,NA())),NA())</f>
        <v>100</v>
      </c>
      <c r="AD7">
        <f t="shared" ref="AD7" si="56">IF(O27&lt;&gt;"",IF($F26="Higher the better",IF(O27&gt;=O26,O27,NA()),IF(O27&lt;=O26,O27,NA())),NA())</f>
        <v>100</v>
      </c>
      <c r="AE7" t="e">
        <f t="shared" ref="AE7" si="57">IF(P27&lt;&gt;"",IF($F26="Higher the better",IF(P27&gt;=P26,P27,NA()),IF(P27&lt;=P26,P27,NA())),NA())</f>
        <v>#N/A</v>
      </c>
      <c r="AF7" t="e">
        <f t="shared" ref="AF7" si="58">IF(Q27&lt;&gt;"",IF($F26="Higher the better",IF(Q27&gt;=Q26,Q27,NA()),IF(Q27&lt;=Q26,Q27,NA())),NA())</f>
        <v>#N/A</v>
      </c>
      <c r="AG7" t="e">
        <f t="shared" ref="AG7" si="59">IF(R27&lt;&gt;"",IF($F26="Higher the better",IF(R27&gt;=R26,R27,NA()),IF(R27&lt;=R26,R27,NA())),NA())</f>
        <v>#N/A</v>
      </c>
      <c r="AH7" t="e">
        <f t="shared" ref="AH7" si="60">IF(S27&lt;&gt;"",IF($F26="Higher the better",IF(S27&gt;=S26,S27,NA()),IF(S27&lt;=S26,S27,NA())),NA())</f>
        <v>#N/A</v>
      </c>
      <c r="AI7" t="e">
        <f t="shared" ref="AI7" si="61">IF(T27&lt;&gt;"",IF($F26="Higher the better",IF(T27&gt;=T26,T27,NA()),IF(T27&lt;=T26,T27,NA())),NA())</f>
        <v>#N/A</v>
      </c>
    </row>
    <row r="8" spans="1:35">
      <c r="A8" s="514" t="s">
        <v>347</v>
      </c>
      <c r="B8" s="354" t="s">
        <v>348</v>
      </c>
      <c r="C8" s="485" t="s">
        <v>97</v>
      </c>
      <c r="D8" s="485">
        <v>85</v>
      </c>
      <c r="E8" s="328" t="s">
        <v>98</v>
      </c>
      <c r="F8" s="336" t="s">
        <v>99</v>
      </c>
      <c r="G8" s="328" t="s">
        <v>55</v>
      </c>
      <c r="H8" s="14" t="s">
        <v>29</v>
      </c>
      <c r="I8" s="44">
        <v>85</v>
      </c>
      <c r="J8" s="44">
        <v>85</v>
      </c>
      <c r="K8" s="44">
        <v>85</v>
      </c>
      <c r="L8" s="44">
        <v>85</v>
      </c>
      <c r="M8" s="44">
        <v>85</v>
      </c>
      <c r="N8" s="44">
        <v>85</v>
      </c>
      <c r="O8" s="44">
        <v>85</v>
      </c>
      <c r="P8" s="44">
        <v>85</v>
      </c>
      <c r="Q8" s="44">
        <v>85</v>
      </c>
      <c r="R8" s="44">
        <v>85</v>
      </c>
      <c r="S8" s="44">
        <v>85</v>
      </c>
      <c r="T8" s="44">
        <v>85</v>
      </c>
      <c r="W8" t="s">
        <v>91</v>
      </c>
      <c r="X8" t="e">
        <f t="shared" ref="X8" si="62">IF(I27&lt;&gt;"",IF($F26="Higher the better",IF(I27&lt;I26,I27,NA()),IF(I27&gt;I26,I27,NA())),NA())</f>
        <v>#N/A</v>
      </c>
      <c r="Y8" t="e">
        <f t="shared" ref="Y8" si="63">IF(J27&lt;&gt;"",IF($F26="Higher the better",IF(J27&lt;J26,J27,NA()),IF(J27&gt;J26,J27,NA())),NA())</f>
        <v>#N/A</v>
      </c>
      <c r="Z8" t="e">
        <f t="shared" ref="Z8" si="64">IF(K27&lt;&gt;"",IF($F26="Higher the better",IF(K27&lt;K26,K27,NA()),IF(K27&gt;K26,K27,NA())),NA())</f>
        <v>#N/A</v>
      </c>
      <c r="AA8" t="e">
        <f t="shared" ref="AA8" si="65">IF(L27&lt;&gt;"",IF($F26="Higher the better",IF(L27&lt;L26,L27,NA()),IF(L27&gt;L26,L27,NA())),NA())</f>
        <v>#N/A</v>
      </c>
      <c r="AB8" t="e">
        <f t="shared" ref="AB8" si="66">IF(M27&lt;&gt;"",IF($F26="Higher the better",IF(M27&lt;M26,M27,NA()),IF(M27&gt;M26,M27,NA())),NA())</f>
        <v>#N/A</v>
      </c>
      <c r="AC8" t="e">
        <f t="shared" ref="AC8" si="67">IF(N27&lt;&gt;"",IF($F26="Higher the better",IF(N27&lt;N26,N27,NA()),IF(N27&gt;N26,N27,NA())),NA())</f>
        <v>#N/A</v>
      </c>
      <c r="AD8" t="e">
        <f t="shared" ref="AD8" si="68">IF(O27&lt;&gt;"",IF($F26="Higher the better",IF(O27&lt;O26,O27,NA()),IF(O27&gt;O26,O27,NA())),NA())</f>
        <v>#N/A</v>
      </c>
      <c r="AE8" t="e">
        <f t="shared" ref="AE8" si="69">IF(P27&lt;&gt;"",IF($F26="Higher the better",IF(P27&lt;P26,P27,NA()),IF(P27&gt;P26,P27,NA())),NA())</f>
        <v>#N/A</v>
      </c>
      <c r="AF8" t="e">
        <f t="shared" ref="AF8" si="70">IF(Q27&lt;&gt;"",IF($F26="Higher the better",IF(Q27&lt;Q26,Q27,NA()),IF(Q27&gt;Q26,Q27,NA())),NA())</f>
        <v>#N/A</v>
      </c>
      <c r="AG8" t="e">
        <f t="shared" ref="AG8" si="71">IF(R27&lt;&gt;"",IF($F26="Higher the better",IF(R27&lt;R26,R27,NA()),IF(R27&gt;R26,R27,NA())),NA())</f>
        <v>#N/A</v>
      </c>
      <c r="AH8" t="e">
        <f t="shared" ref="AH8" si="72">IF(S27&lt;&gt;"",IF($F26="Higher the better",IF(S27&lt;S26,S27,NA()),IF(S27&gt;S26,S27,NA())),NA())</f>
        <v>#N/A</v>
      </c>
      <c r="AI8" t="e">
        <f t="shared" ref="AI8" si="73">IF(T27&lt;&gt;"",IF($F26="Higher the better",IF(T27&lt;T26,T27,NA()),IF(T27&gt;T26,T27,NA())),NA())</f>
        <v>#N/A</v>
      </c>
    </row>
    <row r="9" spans="1:35" ht="24" customHeight="1">
      <c r="A9" s="515"/>
      <c r="B9" s="522"/>
      <c r="C9" s="486"/>
      <c r="D9" s="486"/>
      <c r="E9" s="329"/>
      <c r="F9" s="333"/>
      <c r="G9" s="329"/>
      <c r="H9" s="14" t="s">
        <v>30</v>
      </c>
      <c r="I9" s="45">
        <v>80</v>
      </c>
      <c r="J9" s="179">
        <v>67</v>
      </c>
      <c r="K9" s="45">
        <v>133</v>
      </c>
      <c r="L9" s="45">
        <v>50</v>
      </c>
      <c r="M9" s="45">
        <v>91</v>
      </c>
      <c r="N9" s="45">
        <v>80</v>
      </c>
      <c r="O9" s="45">
        <v>83.3</v>
      </c>
      <c r="P9" s="45">
        <v>88</v>
      </c>
      <c r="Q9" s="45"/>
      <c r="R9" s="45"/>
      <c r="S9" s="45"/>
      <c r="T9" s="45"/>
      <c r="W9" t="s">
        <v>90</v>
      </c>
      <c r="X9" t="e">
        <f>IF(#REF!&lt;&gt;"",IF(#REF!="Higher the better",IF(#REF!&gt;=#REF!,#REF!,NA()),IF(#REF!&lt;=#REF!,#REF!,NA())),NA())</f>
        <v>#REF!</v>
      </c>
      <c r="Y9" t="e">
        <f>IF(#REF!&lt;&gt;"",IF(#REF!="Higher the better",IF(#REF!&gt;=#REF!,#REF!,NA()),IF(#REF!&lt;=#REF!,#REF!,NA())),NA())</f>
        <v>#REF!</v>
      </c>
      <c r="Z9" t="e">
        <f>IF(#REF!&lt;&gt;"",IF(#REF!="Higher the better",IF(#REF!&gt;=#REF!,#REF!,NA()),IF(#REF!&lt;=#REF!,#REF!,NA())),NA())</f>
        <v>#REF!</v>
      </c>
      <c r="AA9" t="e">
        <f>IF(#REF!&lt;&gt;"",IF(#REF!="Higher the better",IF(#REF!&gt;=#REF!,#REF!,NA()),IF(#REF!&lt;=#REF!,#REF!,NA())),NA())</f>
        <v>#REF!</v>
      </c>
      <c r="AB9" t="e">
        <f>IF(#REF!&lt;&gt;"",IF(#REF!="Higher the better",IF(#REF!&gt;=#REF!,#REF!,NA()),IF(#REF!&lt;=#REF!,#REF!,NA())),NA())</f>
        <v>#REF!</v>
      </c>
      <c r="AC9" t="e">
        <f>IF(#REF!&lt;&gt;"",IF(#REF!="Higher the better",IF(#REF!&gt;=#REF!,#REF!,NA()),IF(#REF!&lt;=#REF!,#REF!,NA())),NA())</f>
        <v>#REF!</v>
      </c>
      <c r="AD9" t="e">
        <f>IF(#REF!&lt;&gt;"",IF(#REF!="Higher the better",IF(#REF!&gt;=#REF!,#REF!,NA()),IF(#REF!&lt;=#REF!,#REF!,NA())),NA())</f>
        <v>#REF!</v>
      </c>
      <c r="AE9" t="e">
        <f>IF(#REF!&lt;&gt;"",IF(#REF!="Higher the better",IF(#REF!&gt;=#REF!,#REF!,NA()),IF(#REF!&lt;=#REF!,#REF!,NA())),NA())</f>
        <v>#REF!</v>
      </c>
      <c r="AF9" t="e">
        <f>IF(#REF!&lt;&gt;"",IF(#REF!="Higher the better",IF(#REF!&gt;=#REF!,#REF!,NA()),IF(#REF!&lt;=#REF!,#REF!,NA())),NA())</f>
        <v>#REF!</v>
      </c>
      <c r="AG9" t="e">
        <f>IF(#REF!&lt;&gt;"",IF(#REF!="Higher the better",IF(#REF!&gt;=#REF!,#REF!,NA()),IF(#REF!&lt;=#REF!,#REF!,NA())),NA())</f>
        <v>#REF!</v>
      </c>
      <c r="AH9" t="e">
        <f>IF(#REF!&lt;&gt;"",IF(#REF!="Higher the better",IF(#REF!&gt;=#REF!,#REF!,NA()),IF(#REF!&lt;=#REF!,#REF!,NA())),NA())</f>
        <v>#REF!</v>
      </c>
      <c r="AI9" t="e">
        <f>IF(#REF!&lt;&gt;"",IF(#REF!="Higher the better",IF(#REF!&gt;=#REF!,#REF!,NA()),IF(#REF!&lt;=#REF!,#REF!,NA())),NA())</f>
        <v>#REF!</v>
      </c>
    </row>
    <row r="10" spans="1:35" ht="14.85" customHeight="1">
      <c r="A10" s="514" t="s">
        <v>349</v>
      </c>
      <c r="B10" s="523" t="s">
        <v>350</v>
      </c>
      <c r="C10" s="485" t="s">
        <v>97</v>
      </c>
      <c r="D10" s="485">
        <v>67</v>
      </c>
      <c r="E10" s="328" t="s">
        <v>54</v>
      </c>
      <c r="F10" s="336" t="s">
        <v>99</v>
      </c>
      <c r="G10" s="328" t="s">
        <v>55</v>
      </c>
      <c r="H10" s="14" t="s">
        <v>29</v>
      </c>
      <c r="I10" s="44">
        <v>5.5</v>
      </c>
      <c r="J10" s="44">
        <f t="shared" ref="J10:S10" si="74">I10+5.5</f>
        <v>11</v>
      </c>
      <c r="K10" s="44">
        <f t="shared" si="74"/>
        <v>16.5</v>
      </c>
      <c r="L10" s="44">
        <f t="shared" si="74"/>
        <v>22</v>
      </c>
      <c r="M10" s="44">
        <f t="shared" si="74"/>
        <v>27.5</v>
      </c>
      <c r="N10" s="44">
        <f t="shared" si="74"/>
        <v>33</v>
      </c>
      <c r="O10" s="44">
        <f t="shared" si="74"/>
        <v>38.5</v>
      </c>
      <c r="P10" s="44">
        <f t="shared" si="74"/>
        <v>44</v>
      </c>
      <c r="Q10" s="44">
        <f t="shared" si="74"/>
        <v>49.5</v>
      </c>
      <c r="R10" s="44">
        <f t="shared" si="74"/>
        <v>55</v>
      </c>
      <c r="S10" s="44">
        <f t="shared" si="74"/>
        <v>60.5</v>
      </c>
      <c r="T10" s="44">
        <v>67</v>
      </c>
      <c r="W10" t="s">
        <v>91</v>
      </c>
      <c r="X10" t="e">
        <f>IF(#REF!&lt;&gt;"",IF(#REF!="Higher the better",IF(#REF!&lt;#REF!,#REF!,NA()),IF(#REF!&gt;#REF!,#REF!,NA())),NA())</f>
        <v>#REF!</v>
      </c>
      <c r="Y10" t="e">
        <f>IF(#REF!&lt;&gt;"",IF(#REF!="Higher the better",IF(#REF!&lt;#REF!,#REF!,NA()),IF(#REF!&gt;#REF!,#REF!,NA())),NA())</f>
        <v>#REF!</v>
      </c>
      <c r="Z10" t="e">
        <f>IF(#REF!&lt;&gt;"",IF(#REF!="Higher the better",IF(#REF!&lt;#REF!,#REF!,NA()),IF(#REF!&gt;#REF!,#REF!,NA())),NA())</f>
        <v>#REF!</v>
      </c>
      <c r="AA10" t="e">
        <f>IF(#REF!&lt;&gt;"",IF(#REF!="Higher the better",IF(#REF!&lt;#REF!,#REF!,NA()),IF(#REF!&gt;#REF!,#REF!,NA())),NA())</f>
        <v>#REF!</v>
      </c>
      <c r="AB10" t="e">
        <f>IF(#REF!&lt;&gt;"",IF(#REF!="Higher the better",IF(#REF!&lt;#REF!,#REF!,NA()),IF(#REF!&gt;#REF!,#REF!,NA())),NA())</f>
        <v>#REF!</v>
      </c>
      <c r="AC10" t="e">
        <f>IF(#REF!&lt;&gt;"",IF(#REF!="Higher the better",IF(#REF!&lt;#REF!,#REF!,NA()),IF(#REF!&gt;#REF!,#REF!,NA())),NA())</f>
        <v>#REF!</v>
      </c>
      <c r="AD10" t="e">
        <f>IF(#REF!&lt;&gt;"",IF(#REF!="Higher the better",IF(#REF!&lt;#REF!,#REF!,NA()),IF(#REF!&gt;#REF!,#REF!,NA())),NA())</f>
        <v>#REF!</v>
      </c>
      <c r="AE10" t="e">
        <f>IF(#REF!&lt;&gt;"",IF(#REF!="Higher the better",IF(#REF!&lt;#REF!,#REF!,NA()),IF(#REF!&gt;#REF!,#REF!,NA())),NA())</f>
        <v>#REF!</v>
      </c>
      <c r="AF10" t="e">
        <f>IF(#REF!&lt;&gt;"",IF(#REF!="Higher the better",IF(#REF!&lt;#REF!,#REF!,NA()),IF(#REF!&gt;#REF!,#REF!,NA())),NA())</f>
        <v>#REF!</v>
      </c>
      <c r="AG10" t="e">
        <f>IF(#REF!&lt;&gt;"",IF(#REF!="Higher the better",IF(#REF!&lt;#REF!,#REF!,NA()),IF(#REF!&gt;#REF!,#REF!,NA())),NA())</f>
        <v>#REF!</v>
      </c>
      <c r="AH10" t="e">
        <f>IF(#REF!&lt;&gt;"",IF(#REF!="Higher the better",IF(#REF!&lt;#REF!,#REF!,NA()),IF(#REF!&gt;#REF!,#REF!,NA())),NA())</f>
        <v>#REF!</v>
      </c>
      <c r="AI10" t="e">
        <f>IF(#REF!&lt;&gt;"",IF(#REF!="Higher the better",IF(#REF!&lt;#REF!,#REF!,NA()),IF(#REF!&gt;#REF!,#REF!,NA())),NA())</f>
        <v>#REF!</v>
      </c>
    </row>
    <row r="11" spans="1:35" ht="13.35" customHeight="1">
      <c r="A11" s="515"/>
      <c r="B11" s="517"/>
      <c r="C11" s="486"/>
      <c r="D11" s="486"/>
      <c r="E11" s="329"/>
      <c r="F11" s="333"/>
      <c r="G11" s="329"/>
      <c r="H11" s="14" t="s">
        <v>30</v>
      </c>
      <c r="I11" s="45">
        <v>9</v>
      </c>
      <c r="J11" s="45">
        <f>9+8.3</f>
        <v>17.3</v>
      </c>
      <c r="K11" s="45">
        <v>24.6</v>
      </c>
      <c r="L11" s="45">
        <v>26.3</v>
      </c>
      <c r="M11" s="45">
        <v>31</v>
      </c>
      <c r="N11" s="45">
        <v>37.299999999999997</v>
      </c>
      <c r="O11" s="45">
        <v>49.7</v>
      </c>
      <c r="P11" s="45">
        <v>51.9</v>
      </c>
      <c r="Q11" s="45"/>
      <c r="R11" s="45"/>
      <c r="S11" s="45"/>
      <c r="T11" s="45"/>
      <c r="W11" t="s">
        <v>90</v>
      </c>
      <c r="X11" t="e">
        <f>IF(#REF!&lt;&gt;"",IF(#REF!="Higher the better",IF(#REF!&gt;=#REF!,#REF!,NA()),IF(#REF!&lt;=#REF!,#REF!,NA())),NA())</f>
        <v>#REF!</v>
      </c>
      <c r="Y11" t="e">
        <f>IF(#REF!&lt;&gt;"",IF(#REF!="Higher the better",IF(#REF!&gt;=#REF!,#REF!,NA()),IF(#REF!&lt;=#REF!,#REF!,NA())),NA())</f>
        <v>#REF!</v>
      </c>
      <c r="Z11" t="e">
        <f>IF(#REF!&lt;&gt;"",IF(#REF!="Higher the better",IF(#REF!&gt;=#REF!,#REF!,NA()),IF(#REF!&lt;=#REF!,#REF!,NA())),NA())</f>
        <v>#REF!</v>
      </c>
      <c r="AA11" t="e">
        <f>IF(#REF!&lt;&gt;"",IF(#REF!="Higher the better",IF(#REF!&gt;=#REF!,#REF!,NA()),IF(#REF!&lt;=#REF!,#REF!,NA())),NA())</f>
        <v>#REF!</v>
      </c>
      <c r="AB11" t="e">
        <f>IF(#REF!&lt;&gt;"",IF(#REF!="Higher the better",IF(#REF!&gt;=#REF!,#REF!,NA()),IF(#REF!&lt;=#REF!,#REF!,NA())),NA())</f>
        <v>#REF!</v>
      </c>
      <c r="AC11" t="e">
        <f>IF(#REF!&lt;&gt;"",IF(#REF!="Higher the better",IF(#REF!&gt;=#REF!,#REF!,NA()),IF(#REF!&lt;=#REF!,#REF!,NA())),NA())</f>
        <v>#REF!</v>
      </c>
      <c r="AD11" t="e">
        <f>IF(#REF!&lt;&gt;"",IF(#REF!="Higher the better",IF(#REF!&gt;=#REF!,#REF!,NA()),IF(#REF!&lt;=#REF!,#REF!,NA())),NA())</f>
        <v>#REF!</v>
      </c>
      <c r="AE11" t="e">
        <f>IF(#REF!&lt;&gt;"",IF(#REF!="Higher the better",IF(#REF!&gt;=#REF!,#REF!,NA()),IF(#REF!&lt;=#REF!,#REF!,NA())),NA())</f>
        <v>#REF!</v>
      </c>
      <c r="AF11" t="e">
        <f>IF(#REF!&lt;&gt;"",IF(#REF!="Higher the better",IF(#REF!&gt;=#REF!,#REF!,NA()),IF(#REF!&lt;=#REF!,#REF!,NA())),NA())</f>
        <v>#REF!</v>
      </c>
      <c r="AG11" t="e">
        <f>IF(#REF!&lt;&gt;"",IF(#REF!="Higher the better",IF(#REF!&gt;=#REF!,#REF!,NA()),IF(#REF!&lt;=#REF!,#REF!,NA())),NA())</f>
        <v>#REF!</v>
      </c>
      <c r="AH11" t="e">
        <f>IF(#REF!&lt;&gt;"",IF(#REF!="Higher the better",IF(#REF!&gt;=#REF!,#REF!,NA()),IF(#REF!&lt;=#REF!,#REF!,NA())),NA())</f>
        <v>#REF!</v>
      </c>
      <c r="AI11" t="e">
        <f>IF(#REF!&lt;&gt;"",IF(#REF!="Higher the better",IF(#REF!&gt;=#REF!,#REF!,NA()),IF(#REF!&lt;=#REF!,#REF!,NA())),NA())</f>
        <v>#REF!</v>
      </c>
    </row>
    <row r="12" spans="1:35" ht="18.600000000000001">
      <c r="A12" s="31" t="s">
        <v>112</v>
      </c>
      <c r="G12" s="38"/>
      <c r="I12" s="43"/>
      <c r="J12" s="43"/>
      <c r="K12" s="43"/>
      <c r="L12" s="43"/>
      <c r="M12" s="43"/>
      <c r="N12" s="43"/>
      <c r="O12" s="43"/>
      <c r="P12" s="43"/>
      <c r="Q12" s="43"/>
      <c r="R12" s="43"/>
      <c r="S12" s="43"/>
      <c r="T12" s="43"/>
      <c r="W12" t="s">
        <v>91</v>
      </c>
      <c r="X12" t="e">
        <f>IF(#REF!&lt;&gt;"",IF(#REF!="Higher the better",IF(#REF!&lt;#REF!,#REF!,NA()),IF(#REF!&gt;#REF!,#REF!,NA())),NA())</f>
        <v>#REF!</v>
      </c>
      <c r="Y12" t="e">
        <f>IF(#REF!&lt;&gt;"",IF(#REF!="Higher the better",IF(#REF!&lt;#REF!,#REF!,NA()),IF(#REF!&gt;#REF!,#REF!,NA())),NA())</f>
        <v>#REF!</v>
      </c>
      <c r="Z12" t="e">
        <f>IF(#REF!&lt;&gt;"",IF(#REF!="Higher the better",IF(#REF!&lt;#REF!,#REF!,NA()),IF(#REF!&gt;#REF!,#REF!,NA())),NA())</f>
        <v>#REF!</v>
      </c>
      <c r="AA12" t="e">
        <f>IF(#REF!&lt;&gt;"",IF(#REF!="Higher the better",IF(#REF!&lt;#REF!,#REF!,NA()),IF(#REF!&gt;#REF!,#REF!,NA())),NA())</f>
        <v>#REF!</v>
      </c>
      <c r="AB12" t="e">
        <f>IF(#REF!&lt;&gt;"",IF(#REF!="Higher the better",IF(#REF!&lt;#REF!,#REF!,NA()),IF(#REF!&gt;#REF!,#REF!,NA())),NA())</f>
        <v>#REF!</v>
      </c>
      <c r="AC12" t="e">
        <f>IF(#REF!&lt;&gt;"",IF(#REF!="Higher the better",IF(#REF!&lt;#REF!,#REF!,NA()),IF(#REF!&gt;#REF!,#REF!,NA())),NA())</f>
        <v>#REF!</v>
      </c>
      <c r="AD12" t="e">
        <f>IF(#REF!&lt;&gt;"",IF(#REF!="Higher the better",IF(#REF!&lt;#REF!,#REF!,NA()),IF(#REF!&gt;#REF!,#REF!,NA())),NA())</f>
        <v>#REF!</v>
      </c>
      <c r="AE12" t="e">
        <f>IF(#REF!&lt;&gt;"",IF(#REF!="Higher the better",IF(#REF!&lt;#REF!,#REF!,NA()),IF(#REF!&gt;#REF!,#REF!,NA())),NA())</f>
        <v>#REF!</v>
      </c>
      <c r="AF12" t="e">
        <f>IF(#REF!&lt;&gt;"",IF(#REF!="Higher the better",IF(#REF!&lt;#REF!,#REF!,NA()),IF(#REF!&gt;#REF!,#REF!,NA())),NA())</f>
        <v>#REF!</v>
      </c>
      <c r="AG12" t="e">
        <f>IF(#REF!&lt;&gt;"",IF(#REF!="Higher the better",IF(#REF!&lt;#REF!,#REF!,NA()),IF(#REF!&gt;#REF!,#REF!,NA())),NA())</f>
        <v>#REF!</v>
      </c>
      <c r="AH12" t="e">
        <f>IF(#REF!&lt;&gt;"",IF(#REF!="Higher the better",IF(#REF!&lt;#REF!,#REF!,NA()),IF(#REF!&gt;#REF!,#REF!,NA())),NA())</f>
        <v>#REF!</v>
      </c>
      <c r="AI12" t="e">
        <f>IF(#REF!&lt;&gt;"",IF(#REF!="Higher the better",IF(#REF!&lt;#REF!,#REF!,NA()),IF(#REF!&gt;#REF!,#REF!,NA())),NA())</f>
        <v>#REF!</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27" customHeight="1">
      <c r="A14" s="519" t="s">
        <v>351</v>
      </c>
      <c r="B14" s="519" t="s">
        <v>352</v>
      </c>
      <c r="C14" s="485" t="s">
        <v>97</v>
      </c>
      <c r="D14" s="518">
        <v>100</v>
      </c>
      <c r="E14" s="328" t="s">
        <v>98</v>
      </c>
      <c r="F14" s="336" t="s">
        <v>99</v>
      </c>
      <c r="G14" s="328" t="s">
        <v>55</v>
      </c>
      <c r="H14" s="14" t="s">
        <v>29</v>
      </c>
      <c r="I14" s="44">
        <v>60</v>
      </c>
      <c r="J14" s="44">
        <v>65</v>
      </c>
      <c r="K14" s="44">
        <v>68</v>
      </c>
      <c r="L14" s="44">
        <v>70</v>
      </c>
      <c r="M14" s="44">
        <v>72</v>
      </c>
      <c r="N14" s="44">
        <v>75</v>
      </c>
      <c r="O14" s="44">
        <v>75</v>
      </c>
      <c r="P14" s="44">
        <v>75</v>
      </c>
      <c r="Q14" s="44">
        <v>80</v>
      </c>
      <c r="R14" s="44">
        <v>85</v>
      </c>
      <c r="S14" s="44">
        <v>90</v>
      </c>
      <c r="T14" s="44">
        <v>100</v>
      </c>
    </row>
    <row r="15" spans="1:35" ht="23.85" customHeight="1">
      <c r="A15" s="520"/>
      <c r="B15" s="521"/>
      <c r="C15" s="486"/>
      <c r="D15" s="486"/>
      <c r="E15" s="329"/>
      <c r="F15" s="333"/>
      <c r="G15" s="329"/>
      <c r="H15" s="14" t="s">
        <v>30</v>
      </c>
      <c r="I15" s="45">
        <v>54</v>
      </c>
      <c r="J15" s="45">
        <v>58</v>
      </c>
      <c r="K15" s="45">
        <v>64</v>
      </c>
      <c r="L15" s="45">
        <v>68</v>
      </c>
      <c r="M15" s="45">
        <v>68</v>
      </c>
      <c r="N15" s="45">
        <v>73</v>
      </c>
      <c r="O15" s="45">
        <v>75</v>
      </c>
      <c r="P15" s="45">
        <v>75</v>
      </c>
      <c r="Q15" s="45"/>
      <c r="R15" s="45"/>
      <c r="S15" s="45"/>
      <c r="T15" s="45"/>
    </row>
    <row r="16" spans="1:35" ht="21" customHeight="1">
      <c r="A16" s="526" t="s">
        <v>353</v>
      </c>
      <c r="B16" s="527" t="s">
        <v>354</v>
      </c>
      <c r="C16" s="485" t="s">
        <v>97</v>
      </c>
      <c r="D16" s="518">
        <v>90</v>
      </c>
      <c r="E16" s="328" t="s">
        <v>98</v>
      </c>
      <c r="F16" s="336" t="s">
        <v>99</v>
      </c>
      <c r="G16" s="328" t="s">
        <v>55</v>
      </c>
      <c r="H16" s="14" t="s">
        <v>29</v>
      </c>
      <c r="I16" s="44">
        <v>95</v>
      </c>
      <c r="J16" s="44">
        <v>95</v>
      </c>
      <c r="K16" s="44">
        <v>95</v>
      </c>
      <c r="L16" s="44">
        <v>95</v>
      </c>
      <c r="M16" s="44">
        <v>95</v>
      </c>
      <c r="N16" s="44">
        <v>95</v>
      </c>
      <c r="O16" s="44">
        <v>95</v>
      </c>
      <c r="P16" s="44">
        <v>95</v>
      </c>
      <c r="Q16" s="44">
        <v>95</v>
      </c>
      <c r="R16" s="44">
        <v>95</v>
      </c>
      <c r="S16" s="44">
        <v>95</v>
      </c>
      <c r="T16" s="44">
        <v>95</v>
      </c>
    </row>
    <row r="17" spans="1:20" ht="22.35" customHeight="1">
      <c r="A17" s="521"/>
      <c r="B17" s="520"/>
      <c r="C17" s="486"/>
      <c r="D17" s="486"/>
      <c r="E17" s="329"/>
      <c r="F17" s="333"/>
      <c r="G17" s="329"/>
      <c r="H17" s="14" t="s">
        <v>30</v>
      </c>
      <c r="I17" s="45">
        <v>100</v>
      </c>
      <c r="J17" s="45">
        <v>90</v>
      </c>
      <c r="K17" s="45">
        <v>95</v>
      </c>
      <c r="L17" s="45">
        <v>93</v>
      </c>
      <c r="M17" s="45">
        <v>94</v>
      </c>
      <c r="N17" s="45">
        <v>90</v>
      </c>
      <c r="O17" s="45">
        <v>95</v>
      </c>
      <c r="P17" s="45">
        <v>95</v>
      </c>
      <c r="Q17" s="45"/>
      <c r="R17" s="45"/>
      <c r="S17" s="45"/>
      <c r="T17" s="45"/>
    </row>
    <row r="18" spans="1:20" ht="14.85" customHeight="1">
      <c r="A18" s="519" t="s">
        <v>355</v>
      </c>
      <c r="B18" s="519" t="s">
        <v>356</v>
      </c>
      <c r="C18" s="485" t="s">
        <v>97</v>
      </c>
      <c r="D18" s="518">
        <v>95</v>
      </c>
      <c r="E18" s="524" t="s">
        <v>98</v>
      </c>
      <c r="F18" s="336" t="s">
        <v>99</v>
      </c>
      <c r="G18" s="328" t="s">
        <v>55</v>
      </c>
      <c r="H18" s="14" t="s">
        <v>29</v>
      </c>
      <c r="I18" s="44">
        <v>10</v>
      </c>
      <c r="J18" s="44">
        <v>20</v>
      </c>
      <c r="K18" s="44">
        <v>40</v>
      </c>
      <c r="L18" s="44">
        <v>50</v>
      </c>
      <c r="M18" s="44">
        <v>68</v>
      </c>
      <c r="N18" s="44">
        <v>82</v>
      </c>
      <c r="O18" s="44">
        <v>82</v>
      </c>
      <c r="P18" s="44">
        <v>85</v>
      </c>
      <c r="Q18" s="44">
        <v>85</v>
      </c>
      <c r="R18" s="44"/>
      <c r="S18" s="44"/>
      <c r="T18" s="44"/>
    </row>
    <row r="19" spans="1:20" ht="65.849999999999994" customHeight="1">
      <c r="A19" s="520"/>
      <c r="B19" s="521"/>
      <c r="C19" s="486"/>
      <c r="D19" s="486"/>
      <c r="E19" s="525"/>
      <c r="F19" s="333"/>
      <c r="G19" s="329"/>
      <c r="H19" s="14" t="s">
        <v>30</v>
      </c>
      <c r="I19" s="45">
        <v>5</v>
      </c>
      <c r="J19" s="45">
        <v>6</v>
      </c>
      <c r="K19" s="45">
        <v>7</v>
      </c>
      <c r="L19" s="45">
        <v>18</v>
      </c>
      <c r="M19" s="45">
        <v>33</v>
      </c>
      <c r="N19" s="45">
        <v>64</v>
      </c>
      <c r="O19" s="45">
        <v>64</v>
      </c>
      <c r="P19" s="45">
        <v>68</v>
      </c>
      <c r="Q19" s="45"/>
      <c r="R19" s="45"/>
      <c r="S19" s="45"/>
      <c r="T19" s="45"/>
    </row>
    <row r="20" spans="1:20">
      <c r="A20" s="501" t="s">
        <v>357</v>
      </c>
      <c r="B20" s="497" t="s">
        <v>358</v>
      </c>
      <c r="C20" s="328" t="s">
        <v>97</v>
      </c>
      <c r="D20" s="504" t="s">
        <v>359</v>
      </c>
      <c r="E20" s="328" t="s">
        <v>98</v>
      </c>
      <c r="F20" s="336" t="s">
        <v>99</v>
      </c>
      <c r="G20" s="328" t="s">
        <v>55</v>
      </c>
      <c r="H20" s="14" t="s">
        <v>29</v>
      </c>
      <c r="I20" s="4">
        <v>1</v>
      </c>
      <c r="J20" s="4">
        <v>1</v>
      </c>
      <c r="K20" s="4">
        <v>1</v>
      </c>
      <c r="L20" s="4">
        <v>1</v>
      </c>
      <c r="M20" s="4">
        <v>1</v>
      </c>
      <c r="N20" s="4">
        <v>1</v>
      </c>
      <c r="O20" s="4">
        <v>1</v>
      </c>
      <c r="P20" s="4">
        <v>1</v>
      </c>
      <c r="Q20" s="308"/>
      <c r="R20" s="308"/>
      <c r="S20" s="308"/>
      <c r="T20" s="308"/>
    </row>
    <row r="21" spans="1:20">
      <c r="A21" s="502"/>
      <c r="B21" s="497"/>
      <c r="C21" s="439"/>
      <c r="D21" s="504"/>
      <c r="E21" s="439"/>
      <c r="F21" s="434"/>
      <c r="G21" s="439"/>
      <c r="H21" s="14" t="s">
        <v>360</v>
      </c>
      <c r="I21" s="310">
        <v>4</v>
      </c>
      <c r="J21" s="45">
        <v>24</v>
      </c>
      <c r="K21" s="45">
        <v>26</v>
      </c>
      <c r="L21" s="45">
        <v>13</v>
      </c>
      <c r="M21" s="45">
        <v>11</v>
      </c>
      <c r="N21" s="45">
        <v>15</v>
      </c>
      <c r="O21" s="45">
        <v>10</v>
      </c>
      <c r="P21" s="45"/>
      <c r="Q21" s="308"/>
      <c r="R21" s="308"/>
      <c r="S21" s="308"/>
      <c r="T21" s="308"/>
    </row>
    <row r="22" spans="1:20">
      <c r="A22" s="502"/>
      <c r="B22" s="497"/>
      <c r="C22" s="439"/>
      <c r="D22" s="504"/>
      <c r="E22" s="439"/>
      <c r="F22" s="434"/>
      <c r="G22" s="439"/>
      <c r="H22" s="14" t="s">
        <v>361</v>
      </c>
      <c r="I22" s="44">
        <v>7</v>
      </c>
      <c r="J22" s="44">
        <v>13</v>
      </c>
      <c r="K22" s="44">
        <v>13</v>
      </c>
      <c r="L22" s="44">
        <v>16</v>
      </c>
      <c r="M22" s="44">
        <v>15</v>
      </c>
      <c r="N22" s="44">
        <v>18</v>
      </c>
      <c r="O22" s="44">
        <v>25</v>
      </c>
      <c r="P22" s="44"/>
      <c r="Q22" s="308"/>
      <c r="R22" s="308"/>
      <c r="S22" s="308"/>
      <c r="T22" s="308"/>
    </row>
    <row r="23" spans="1:20">
      <c r="A23" s="503"/>
      <c r="B23" s="497"/>
      <c r="C23" s="329"/>
      <c r="D23" s="504"/>
      <c r="E23" s="329"/>
      <c r="F23" s="333"/>
      <c r="G23" s="329"/>
      <c r="H23" s="14" t="s">
        <v>30</v>
      </c>
      <c r="I23" s="5">
        <v>1</v>
      </c>
      <c r="J23" s="5">
        <v>0.54169999999999996</v>
      </c>
      <c r="K23" s="5">
        <v>0.5</v>
      </c>
      <c r="L23" s="5">
        <f>16/13</f>
        <v>1.2307692307692308</v>
      </c>
      <c r="M23" s="5">
        <f>M22/M21</f>
        <v>1.3636363636363635</v>
      </c>
      <c r="N23" s="5">
        <f>N22/N21</f>
        <v>1.2</v>
      </c>
      <c r="O23" s="5">
        <f>O22/O21</f>
        <v>2.5</v>
      </c>
      <c r="P23" s="308"/>
      <c r="Q23" s="308"/>
      <c r="R23" s="308"/>
      <c r="S23" s="308"/>
      <c r="T23" s="308"/>
    </row>
    <row r="24" spans="1:20">
      <c r="A24" s="497" t="s">
        <v>362</v>
      </c>
      <c r="B24" s="498" t="s">
        <v>363</v>
      </c>
      <c r="C24" s="328" t="s">
        <v>97</v>
      </c>
      <c r="D24" s="499">
        <v>0</v>
      </c>
      <c r="E24" s="328" t="s">
        <v>54</v>
      </c>
      <c r="F24" s="336" t="s">
        <v>104</v>
      </c>
      <c r="G24" s="328" t="s">
        <v>55</v>
      </c>
      <c r="H24" s="14" t="s">
        <v>29</v>
      </c>
      <c r="I24" s="44">
        <v>0</v>
      </c>
      <c r="J24" s="44">
        <v>0</v>
      </c>
      <c r="K24" s="44">
        <v>0</v>
      </c>
      <c r="L24" s="44">
        <v>0</v>
      </c>
      <c r="M24" s="44">
        <v>0</v>
      </c>
      <c r="N24" s="44">
        <v>0</v>
      </c>
      <c r="O24" s="44">
        <v>0</v>
      </c>
      <c r="P24" s="308"/>
      <c r="Q24" s="308"/>
      <c r="R24" s="308"/>
      <c r="S24" s="308"/>
      <c r="T24" s="308"/>
    </row>
    <row r="25" spans="1:20">
      <c r="A25" s="497"/>
      <c r="B25" s="498"/>
      <c r="C25" s="329"/>
      <c r="D25" s="500"/>
      <c r="E25" s="329"/>
      <c r="F25" s="333"/>
      <c r="G25" s="329"/>
      <c r="H25" s="14" t="s">
        <v>30</v>
      </c>
      <c r="I25" s="45">
        <v>1</v>
      </c>
      <c r="J25" s="45">
        <v>0</v>
      </c>
      <c r="K25" s="45">
        <v>0</v>
      </c>
      <c r="L25" s="45">
        <v>0</v>
      </c>
      <c r="M25" s="45">
        <v>0</v>
      </c>
      <c r="N25" s="45">
        <v>0</v>
      </c>
      <c r="O25" s="45">
        <v>0</v>
      </c>
      <c r="P25" s="308"/>
      <c r="Q25" s="308"/>
      <c r="R25" s="308"/>
      <c r="S25" s="308"/>
      <c r="T25" s="308"/>
    </row>
    <row r="26" spans="1:20" ht="14.85" customHeight="1">
      <c r="A26" s="519" t="s">
        <v>364</v>
      </c>
      <c r="B26" s="528" t="s">
        <v>365</v>
      </c>
      <c r="C26" s="485" t="s">
        <v>97</v>
      </c>
      <c r="D26" s="518">
        <v>80</v>
      </c>
      <c r="E26" s="328" t="s">
        <v>98</v>
      </c>
      <c r="F26" s="336" t="s">
        <v>99</v>
      </c>
      <c r="G26" s="328" t="s">
        <v>55</v>
      </c>
      <c r="H26" s="14" t="s">
        <v>29</v>
      </c>
      <c r="I26" s="44">
        <v>80</v>
      </c>
      <c r="J26" s="44">
        <v>80</v>
      </c>
      <c r="K26" s="44">
        <v>80</v>
      </c>
      <c r="L26" s="44">
        <v>80</v>
      </c>
      <c r="M26" s="44">
        <v>80</v>
      </c>
      <c r="N26" s="44">
        <v>80</v>
      </c>
      <c r="O26" s="44">
        <v>80</v>
      </c>
      <c r="P26" s="44">
        <v>80</v>
      </c>
      <c r="Q26" s="44">
        <v>80</v>
      </c>
      <c r="R26" s="44">
        <v>80</v>
      </c>
      <c r="S26" s="44">
        <v>80</v>
      </c>
      <c r="T26" s="44">
        <v>80</v>
      </c>
    </row>
    <row r="27" spans="1:20" ht="22.35" customHeight="1">
      <c r="A27" s="520"/>
      <c r="B27" s="529"/>
      <c r="C27" s="486"/>
      <c r="D27" s="486"/>
      <c r="E27" s="329"/>
      <c r="F27" s="333"/>
      <c r="G27" s="329"/>
      <c r="H27" s="14" t="s">
        <v>30</v>
      </c>
      <c r="I27" s="45">
        <v>86</v>
      </c>
      <c r="J27" s="45">
        <v>88</v>
      </c>
      <c r="K27" s="45">
        <v>100</v>
      </c>
      <c r="L27" s="45">
        <v>100</v>
      </c>
      <c r="M27" s="45">
        <v>87.5</v>
      </c>
      <c r="N27" s="45">
        <v>100</v>
      </c>
      <c r="O27" s="45">
        <v>100</v>
      </c>
      <c r="P27" s="45"/>
      <c r="Q27" s="45"/>
      <c r="R27" s="45"/>
      <c r="S27" s="45"/>
      <c r="T27" s="45"/>
    </row>
    <row r="28" spans="1:20" ht="15" customHeight="1">
      <c r="E28" s="32" t="s">
        <v>86</v>
      </c>
      <c r="H28" s="33" t="str">
        <f>IF(OR($F15="Lower the better",$F15="Lower the Better"),
    IF(I15&gt;I14,$A14,""),
    IF(OR($F15="Higher the better",$F15="Higher the Better"),
       IF(I15&lt;I14,$A14,""),
       ""
    )
)</f>
        <v/>
      </c>
    </row>
    <row r="29" spans="1:20" ht="20.100000000000001" customHeight="1">
      <c r="A29" s="10" t="s">
        <v>217</v>
      </c>
      <c r="B29"/>
    </row>
    <row r="30" spans="1:20">
      <c r="A30" s="28"/>
      <c r="B30"/>
    </row>
    <row r="31" spans="1:20">
      <c r="A31" s="28"/>
      <c r="B31"/>
    </row>
    <row r="32" spans="1:20">
      <c r="A32" s="28"/>
      <c r="B32"/>
    </row>
    <row r="33" spans="1:5">
      <c r="A33" s="28"/>
      <c r="B33"/>
    </row>
    <row r="34" spans="1:5">
      <c r="A34" s="28"/>
      <c r="B34"/>
    </row>
    <row r="35" spans="1:5">
      <c r="A35" s="28"/>
      <c r="B35"/>
    </row>
    <row r="36" spans="1:5">
      <c r="A36" s="28"/>
      <c r="B36"/>
    </row>
    <row r="37" spans="1:5">
      <c r="A37" s="28"/>
      <c r="B37"/>
    </row>
    <row r="38" spans="1:5">
      <c r="A38" s="28"/>
      <c r="B38"/>
    </row>
    <row r="39" spans="1:5">
      <c r="A39" s="28"/>
      <c r="B39"/>
    </row>
    <row r="40" spans="1:5">
      <c r="A40" s="28"/>
      <c r="B40"/>
    </row>
    <row r="41" spans="1:5">
      <c r="A41" s="28"/>
      <c r="B41"/>
    </row>
    <row r="42" spans="1:5">
      <c r="A42" s="28"/>
      <c r="B42"/>
    </row>
    <row r="43" spans="1:5">
      <c r="A43" s="28"/>
      <c r="B43"/>
    </row>
    <row r="44" spans="1:5">
      <c r="A44" s="28"/>
      <c r="B44"/>
    </row>
    <row r="45" spans="1:5">
      <c r="A45" s="28"/>
      <c r="B45"/>
    </row>
    <row r="46" spans="1:5" ht="21">
      <c r="A46" s="356" t="s">
        <v>123</v>
      </c>
      <c r="B46" s="356"/>
      <c r="C46" s="356"/>
      <c r="D46" s="356"/>
      <c r="E46" s="356"/>
    </row>
    <row r="47" spans="1:5">
      <c r="A47" s="28"/>
      <c r="B47"/>
    </row>
    <row r="48" spans="1:5" ht="21">
      <c r="A48" s="347" t="s">
        <v>124</v>
      </c>
      <c r="B48" s="347"/>
    </row>
    <row r="49" spans="1:6" ht="20.100000000000001" customHeight="1">
      <c r="A49" s="357" t="s">
        <v>125</v>
      </c>
      <c r="B49" s="359" t="s">
        <v>328</v>
      </c>
      <c r="C49" s="359"/>
      <c r="D49" s="359"/>
      <c r="E49" s="359"/>
      <c r="F49" s="359"/>
    </row>
    <row r="50" spans="1:6" ht="15" customHeight="1">
      <c r="A50" s="358"/>
      <c r="B50" s="25" t="s">
        <v>127</v>
      </c>
      <c r="C50" s="25" t="s">
        <v>128</v>
      </c>
      <c r="D50" s="25" t="s">
        <v>129</v>
      </c>
      <c r="E50" s="25" t="s">
        <v>130</v>
      </c>
      <c r="F50" s="25" t="s">
        <v>131</v>
      </c>
    </row>
    <row r="51" spans="1:6" ht="41.85" customHeight="1">
      <c r="A51" s="105" t="s">
        <v>366</v>
      </c>
      <c r="B51" s="180" t="s">
        <v>367</v>
      </c>
      <c r="C51" s="180" t="s">
        <v>368</v>
      </c>
      <c r="D51" s="180" t="s">
        <v>369</v>
      </c>
      <c r="E51" s="180" t="s">
        <v>370</v>
      </c>
      <c r="F51" s="180" t="s">
        <v>371</v>
      </c>
    </row>
    <row r="52" spans="1:6" ht="19.350000000000001" customHeight="1">
      <c r="A52" s="27" t="s">
        <v>135</v>
      </c>
      <c r="B52" s="106">
        <v>0.35</v>
      </c>
      <c r="C52" s="42">
        <v>0.2</v>
      </c>
      <c r="D52" s="42">
        <v>0.2</v>
      </c>
      <c r="E52" s="42">
        <v>0.15</v>
      </c>
      <c r="F52" s="42">
        <v>0.1</v>
      </c>
    </row>
    <row r="53" spans="1:6" ht="19.350000000000001" customHeight="1">
      <c r="A53" s="25" t="s">
        <v>136</v>
      </c>
      <c r="B53" s="150" t="s">
        <v>127</v>
      </c>
      <c r="C53" s="25" t="s">
        <v>128</v>
      </c>
      <c r="D53" s="25" t="s">
        <v>129</v>
      </c>
      <c r="E53" s="25" t="s">
        <v>130</v>
      </c>
      <c r="F53" s="25" t="s">
        <v>131</v>
      </c>
    </row>
    <row r="54" spans="1:6" ht="35.85" customHeight="1">
      <c r="A54" s="105" t="s">
        <v>372</v>
      </c>
      <c r="B54" s="180" t="s">
        <v>373</v>
      </c>
      <c r="C54" s="180" t="s">
        <v>374</v>
      </c>
      <c r="D54" s="180" t="s">
        <v>375</v>
      </c>
      <c r="E54" s="180" t="s">
        <v>376</v>
      </c>
      <c r="F54" s="127"/>
    </row>
    <row r="55" spans="1:6" ht="19.350000000000001" customHeight="1">
      <c r="A55" s="27" t="s">
        <v>135</v>
      </c>
      <c r="B55" s="42">
        <v>0.3</v>
      </c>
      <c r="C55" s="42">
        <v>0.25</v>
      </c>
      <c r="D55" s="42">
        <v>0.3</v>
      </c>
      <c r="E55" s="42">
        <v>0.15</v>
      </c>
      <c r="F55" s="42"/>
    </row>
    <row r="56" spans="1:6" ht="19.350000000000001" customHeight="1">
      <c r="A56" s="25" t="s">
        <v>136</v>
      </c>
      <c r="B56" s="25" t="s">
        <v>127</v>
      </c>
      <c r="C56" s="25" t="s">
        <v>128</v>
      </c>
      <c r="D56" s="25" t="s">
        <v>129</v>
      </c>
      <c r="E56" s="25" t="s">
        <v>130</v>
      </c>
      <c r="F56" s="25" t="s">
        <v>131</v>
      </c>
    </row>
    <row r="57" spans="1:6" ht="26.45">
      <c r="A57" s="40" t="s">
        <v>377</v>
      </c>
      <c r="B57" s="41" t="s">
        <v>378</v>
      </c>
      <c r="C57" s="41" t="s">
        <v>379</v>
      </c>
      <c r="D57" s="41" t="s">
        <v>380</v>
      </c>
      <c r="E57" s="41"/>
      <c r="F57" s="41"/>
    </row>
    <row r="58" spans="1:6" ht="32.1" customHeight="1">
      <c r="A58" s="27" t="s">
        <v>135</v>
      </c>
      <c r="B58" s="42">
        <v>0.5</v>
      </c>
      <c r="C58" s="42">
        <v>0.2</v>
      </c>
      <c r="D58" s="42">
        <v>0.3</v>
      </c>
      <c r="E58" s="42"/>
      <c r="F58" s="42"/>
    </row>
    <row r="59" spans="1:6" ht="19.350000000000001" customHeight="1">
      <c r="A59" s="25" t="s">
        <v>136</v>
      </c>
      <c r="B59" s="25" t="s">
        <v>127</v>
      </c>
      <c r="C59" s="25" t="s">
        <v>128</v>
      </c>
      <c r="D59" s="25" t="s">
        <v>129</v>
      </c>
      <c r="E59" s="25" t="s">
        <v>130</v>
      </c>
      <c r="F59" s="25" t="s">
        <v>131</v>
      </c>
    </row>
    <row r="60" spans="1:6" ht="19.350000000000001" customHeight="1">
      <c r="A60" s="27" t="s">
        <v>381</v>
      </c>
      <c r="B60" s="41" t="s">
        <v>382</v>
      </c>
      <c r="C60" s="41" t="s">
        <v>383</v>
      </c>
      <c r="D60" s="41" t="s">
        <v>384</v>
      </c>
      <c r="E60" s="41" t="s">
        <v>385</v>
      </c>
      <c r="F60" s="41"/>
    </row>
    <row r="61" spans="1:6" ht="19.350000000000001" customHeight="1">
      <c r="A61" s="27" t="s">
        <v>135</v>
      </c>
      <c r="B61" s="42">
        <v>0.2</v>
      </c>
      <c r="C61" s="42">
        <v>0.3</v>
      </c>
      <c r="D61" s="42">
        <v>0.2</v>
      </c>
      <c r="E61" s="42">
        <v>0.3</v>
      </c>
      <c r="F61" s="42"/>
    </row>
    <row r="62" spans="1:6" ht="19.350000000000001" customHeight="1">
      <c r="A62" s="25" t="s">
        <v>136</v>
      </c>
      <c r="B62" s="25" t="s">
        <v>127</v>
      </c>
      <c r="C62" s="25" t="s">
        <v>128</v>
      </c>
      <c r="D62" s="25" t="s">
        <v>129</v>
      </c>
      <c r="E62" s="25" t="s">
        <v>130</v>
      </c>
      <c r="F62" s="25" t="s">
        <v>131</v>
      </c>
    </row>
    <row r="63" spans="1:6" ht="19.350000000000001" customHeight="1">
      <c r="A63" s="27"/>
      <c r="B63" s="41"/>
      <c r="C63" s="41"/>
      <c r="D63" s="41"/>
      <c r="E63" s="41"/>
      <c r="F63" s="41"/>
    </row>
    <row r="64" spans="1:6" ht="19.350000000000001" customHeight="1">
      <c r="A64" s="27" t="s">
        <v>135</v>
      </c>
      <c r="B64" s="42"/>
      <c r="C64" s="42"/>
      <c r="D64" s="42"/>
      <c r="E64" s="42"/>
      <c r="F64" s="42"/>
    </row>
    <row r="65" spans="1:6" ht="19.350000000000001" customHeight="1">
      <c r="A65" s="25" t="s">
        <v>136</v>
      </c>
      <c r="B65" s="25" t="s">
        <v>127</v>
      </c>
      <c r="C65" s="25" t="s">
        <v>128</v>
      </c>
      <c r="D65" s="25" t="s">
        <v>129</v>
      </c>
      <c r="E65" s="25" t="s">
        <v>130</v>
      </c>
      <c r="F65" s="25" t="s">
        <v>131</v>
      </c>
    </row>
    <row r="66" spans="1:6" ht="19.350000000000001" customHeight="1">
      <c r="A66" s="27"/>
      <c r="B66" s="41"/>
      <c r="C66" s="41"/>
      <c r="D66" s="41"/>
      <c r="E66" s="41"/>
      <c r="F66" s="41"/>
    </row>
    <row r="67" spans="1:6" ht="19.350000000000001" customHeight="1">
      <c r="A67" s="27" t="s">
        <v>135</v>
      </c>
      <c r="B67" s="42"/>
      <c r="C67" s="42"/>
      <c r="D67" s="42"/>
      <c r="E67" s="42"/>
      <c r="F67" s="42"/>
    </row>
    <row r="68" spans="1:6" ht="21">
      <c r="A68" s="10" t="s">
        <v>144</v>
      </c>
      <c r="B68"/>
    </row>
    <row r="69" spans="1:6">
      <c r="A69" s="28"/>
      <c r="B69"/>
    </row>
    <row r="70" spans="1:6">
      <c r="A70" s="28"/>
      <c r="B70"/>
    </row>
    <row r="71" spans="1:6">
      <c r="A71" s="28"/>
      <c r="B71"/>
    </row>
    <row r="72" spans="1:6">
      <c r="A72" s="28"/>
      <c r="B72"/>
    </row>
    <row r="73" spans="1:6">
      <c r="A73" s="28"/>
      <c r="B73"/>
    </row>
    <row r="74" spans="1:6">
      <c r="A74" s="28"/>
      <c r="B74"/>
    </row>
    <row r="75" spans="1:6">
      <c r="A75" s="28"/>
      <c r="B75"/>
    </row>
    <row r="76" spans="1:6">
      <c r="A76" s="28"/>
      <c r="B76"/>
    </row>
    <row r="77" spans="1:6">
      <c r="A77" s="28"/>
      <c r="B77"/>
    </row>
    <row r="78" spans="1:6">
      <c r="A78" s="28"/>
      <c r="B78"/>
    </row>
    <row r="79" spans="1:6">
      <c r="A79" s="28"/>
      <c r="B79"/>
    </row>
    <row r="80" spans="1:6">
      <c r="A80" s="28"/>
      <c r="B80"/>
    </row>
    <row r="81" spans="1:15">
      <c r="A81" s="28"/>
      <c r="B81"/>
    </row>
    <row r="82" spans="1:15">
      <c r="A82" s="28"/>
      <c r="B82"/>
    </row>
    <row r="83" spans="1:15" ht="15" thickBot="1">
      <c r="A83" s="28"/>
      <c r="B83"/>
    </row>
    <row r="84" spans="1:15" ht="18.95" thickBot="1">
      <c r="A84" s="360" t="s">
        <v>145</v>
      </c>
      <c r="B84" s="361"/>
      <c r="C84" s="361"/>
      <c r="D84" s="361"/>
      <c r="E84" s="361"/>
      <c r="F84" s="362"/>
      <c r="H84" s="364" t="s">
        <v>146</v>
      </c>
      <c r="I84" s="365"/>
      <c r="J84" s="365"/>
      <c r="K84" s="365"/>
      <c r="L84" s="365"/>
      <c r="M84" s="365"/>
      <c r="N84" s="365"/>
      <c r="O84" s="366"/>
    </row>
    <row r="85" spans="1:15" s="15" customFormat="1" ht="41.85" customHeight="1">
      <c r="A85" s="16" t="s">
        <v>136</v>
      </c>
      <c r="B85" s="17" t="s">
        <v>147</v>
      </c>
      <c r="C85" s="18" t="s">
        <v>148</v>
      </c>
      <c r="D85" s="19" t="s">
        <v>149</v>
      </c>
      <c r="E85" s="17" t="s">
        <v>150</v>
      </c>
      <c r="F85" s="20" t="s">
        <v>151</v>
      </c>
      <c r="G85"/>
      <c r="H85" s="21" t="s">
        <v>58</v>
      </c>
      <c r="I85" s="22" t="s">
        <v>152</v>
      </c>
      <c r="J85" s="22" t="s">
        <v>153</v>
      </c>
      <c r="K85" s="23" t="s">
        <v>154</v>
      </c>
      <c r="L85" s="23" t="s">
        <v>155</v>
      </c>
      <c r="M85" s="24" t="s">
        <v>156</v>
      </c>
      <c r="N85" s="23" t="s">
        <v>157</v>
      </c>
      <c r="O85" s="36" t="s">
        <v>158</v>
      </c>
    </row>
    <row r="86" spans="1:15" ht="16.5" customHeight="1">
      <c r="A86" s="330" t="s">
        <v>386</v>
      </c>
      <c r="B86" s="343" t="s">
        <v>387</v>
      </c>
      <c r="C86" s="343" t="s">
        <v>388</v>
      </c>
      <c r="D86" s="336" t="s">
        <v>389</v>
      </c>
      <c r="E86" s="530" t="s">
        <v>390</v>
      </c>
      <c r="F86" s="339">
        <v>3</v>
      </c>
      <c r="H86" s="496"/>
      <c r="I86" s="372"/>
      <c r="J86" s="367"/>
      <c r="K86" s="372"/>
      <c r="L86" s="367"/>
      <c r="M86" s="370" t="s">
        <v>338</v>
      </c>
      <c r="N86" s="367"/>
      <c r="O86" s="345"/>
    </row>
    <row r="87" spans="1:15" ht="51" customHeight="1">
      <c r="A87" s="331"/>
      <c r="B87" s="382"/>
      <c r="C87" s="382"/>
      <c r="D87" s="333"/>
      <c r="E87" s="338"/>
      <c r="F87" s="340"/>
      <c r="H87" s="333"/>
      <c r="I87" s="373"/>
      <c r="J87" s="368"/>
      <c r="K87" s="373"/>
      <c r="L87" s="368"/>
      <c r="M87" s="371"/>
      <c r="N87" s="368"/>
      <c r="O87" s="346"/>
    </row>
    <row r="88" spans="1:15" ht="17.100000000000001" customHeight="1">
      <c r="A88" s="330" t="s">
        <v>386</v>
      </c>
      <c r="B88" s="343" t="s">
        <v>391</v>
      </c>
      <c r="C88" s="343" t="s">
        <v>392</v>
      </c>
      <c r="D88" s="336" t="s">
        <v>393</v>
      </c>
      <c r="E88" s="531" t="s">
        <v>394</v>
      </c>
      <c r="F88" s="339">
        <v>5</v>
      </c>
      <c r="H88" s="330"/>
      <c r="I88" s="367"/>
      <c r="J88" s="367"/>
      <c r="K88" s="367"/>
      <c r="L88" s="367"/>
      <c r="M88" s="370"/>
      <c r="N88" s="367"/>
      <c r="O88" s="345"/>
    </row>
    <row r="89" spans="1:15" ht="48" customHeight="1">
      <c r="A89" s="331"/>
      <c r="B89" s="382"/>
      <c r="C89" s="382"/>
      <c r="D89" s="333"/>
      <c r="E89" s="338"/>
      <c r="F89" s="340"/>
      <c r="H89" s="331"/>
      <c r="I89" s="368"/>
      <c r="J89" s="368"/>
      <c r="K89" s="368"/>
      <c r="L89" s="368"/>
      <c r="M89" s="371"/>
      <c r="N89" s="368"/>
      <c r="O89" s="346"/>
    </row>
    <row r="90" spans="1:15" ht="23.1" customHeight="1">
      <c r="A90" s="330" t="s">
        <v>386</v>
      </c>
      <c r="B90" s="343" t="s">
        <v>395</v>
      </c>
      <c r="C90" s="336" t="s">
        <v>396</v>
      </c>
      <c r="D90" s="336" t="s">
        <v>397</v>
      </c>
      <c r="E90" s="337">
        <v>46270</v>
      </c>
      <c r="F90" s="107">
        <v>3</v>
      </c>
      <c r="H90" s="171"/>
      <c r="I90" s="175"/>
      <c r="J90" s="175"/>
      <c r="K90" s="175"/>
      <c r="L90" s="175"/>
      <c r="M90" s="175"/>
      <c r="N90" s="175"/>
      <c r="O90" s="176"/>
    </row>
    <row r="91" spans="1:15" ht="23.1" customHeight="1">
      <c r="A91" s="331"/>
      <c r="B91" s="382"/>
      <c r="C91" s="333"/>
      <c r="D91" s="333"/>
      <c r="E91" s="338"/>
      <c r="F91" s="277"/>
      <c r="H91" s="171"/>
      <c r="I91" s="175"/>
      <c r="J91" s="175"/>
      <c r="K91" s="175"/>
      <c r="L91" s="175"/>
      <c r="M91" s="175"/>
      <c r="N91" s="175"/>
      <c r="O91" s="176"/>
    </row>
    <row r="92" spans="1:15" ht="23.1" customHeight="1">
      <c r="A92" s="330" t="s">
        <v>386</v>
      </c>
      <c r="B92" s="343" t="s">
        <v>398</v>
      </c>
      <c r="C92" s="336" t="s">
        <v>399</v>
      </c>
      <c r="D92" s="336" t="s">
        <v>79</v>
      </c>
      <c r="E92" s="337" t="s">
        <v>400</v>
      </c>
      <c r="F92" s="107">
        <v>3</v>
      </c>
      <c r="H92" s="171"/>
      <c r="I92" s="175"/>
      <c r="J92" s="175"/>
      <c r="K92" s="175"/>
      <c r="L92" s="175"/>
      <c r="M92" s="175"/>
      <c r="N92" s="175"/>
      <c r="O92" s="176"/>
    </row>
    <row r="93" spans="1:15" ht="38.450000000000003" customHeight="1">
      <c r="A93" s="331"/>
      <c r="B93" s="382"/>
      <c r="C93" s="333"/>
      <c r="D93" s="333"/>
      <c r="E93" s="338"/>
      <c r="F93" s="277"/>
      <c r="H93" s="171"/>
      <c r="I93" s="175"/>
      <c r="J93" s="175"/>
      <c r="K93" s="175"/>
      <c r="L93" s="175"/>
      <c r="M93" s="175"/>
      <c r="N93" s="175"/>
      <c r="O93" s="176"/>
    </row>
    <row r="94" spans="1:15" ht="16.5" customHeight="1">
      <c r="A94" s="532" t="s">
        <v>401</v>
      </c>
      <c r="B94" s="343" t="s">
        <v>402</v>
      </c>
      <c r="C94" s="336" t="s">
        <v>403</v>
      </c>
      <c r="D94" s="336" t="s">
        <v>404</v>
      </c>
      <c r="E94" s="531" t="s">
        <v>405</v>
      </c>
      <c r="F94" s="107">
        <v>3</v>
      </c>
      <c r="H94" s="330"/>
      <c r="I94" s="367"/>
      <c r="J94" s="367"/>
      <c r="K94" s="367"/>
      <c r="L94" s="367"/>
      <c r="M94" s="370"/>
      <c r="N94" s="367"/>
      <c r="O94" s="345"/>
    </row>
    <row r="95" spans="1:15" ht="33" customHeight="1">
      <c r="A95" s="533"/>
      <c r="B95" s="382"/>
      <c r="C95" s="333"/>
      <c r="D95" s="333"/>
      <c r="E95" s="338"/>
      <c r="F95" s="108"/>
      <c r="H95" s="331"/>
      <c r="I95" s="368"/>
      <c r="J95" s="368"/>
      <c r="K95" s="368"/>
      <c r="L95" s="368"/>
      <c r="M95" s="371"/>
      <c r="N95" s="368"/>
      <c r="O95" s="346"/>
    </row>
    <row r="96" spans="1:15" ht="33" customHeight="1">
      <c r="A96" s="532" t="s">
        <v>401</v>
      </c>
      <c r="B96" s="343" t="s">
        <v>406</v>
      </c>
      <c r="C96" s="343" t="s">
        <v>407</v>
      </c>
      <c r="D96" s="336" t="s">
        <v>408</v>
      </c>
      <c r="E96" s="337">
        <v>46219</v>
      </c>
      <c r="F96" s="107">
        <v>5</v>
      </c>
      <c r="H96" s="171"/>
      <c r="I96" s="172"/>
      <c r="J96" s="172"/>
      <c r="K96" s="172"/>
      <c r="L96" s="172"/>
      <c r="M96" s="173"/>
      <c r="N96" s="172"/>
      <c r="O96" s="174"/>
    </row>
    <row r="97" spans="1:15" ht="33" customHeight="1">
      <c r="A97" s="533"/>
      <c r="B97" s="382"/>
      <c r="C97" s="382"/>
      <c r="D97" s="333"/>
      <c r="E97" s="338"/>
      <c r="F97" s="277"/>
      <c r="H97" s="171"/>
      <c r="I97" s="172"/>
      <c r="J97" s="172"/>
      <c r="K97" s="172"/>
      <c r="L97" s="172"/>
      <c r="M97" s="173"/>
      <c r="N97" s="172"/>
      <c r="O97" s="174"/>
    </row>
    <row r="98" spans="1:15" ht="33" customHeight="1">
      <c r="A98" s="532" t="s">
        <v>401</v>
      </c>
      <c r="B98" s="343" t="s">
        <v>409</v>
      </c>
      <c r="C98" s="343" t="s">
        <v>410</v>
      </c>
      <c r="D98" s="336" t="s">
        <v>389</v>
      </c>
      <c r="E98" s="337">
        <v>46250</v>
      </c>
      <c r="F98" s="107">
        <v>3</v>
      </c>
      <c r="H98" s="171"/>
      <c r="I98" s="172"/>
      <c r="J98" s="172"/>
      <c r="K98" s="172"/>
      <c r="L98" s="172"/>
      <c r="M98" s="173"/>
      <c r="N98" s="172"/>
      <c r="O98" s="174"/>
    </row>
    <row r="99" spans="1:15" ht="33" customHeight="1">
      <c r="A99" s="533"/>
      <c r="B99" s="382"/>
      <c r="C99" s="382"/>
      <c r="D99" s="333"/>
      <c r="E99" s="338"/>
      <c r="F99" s="277"/>
      <c r="H99" s="171"/>
      <c r="I99" s="172"/>
      <c r="J99" s="172"/>
      <c r="K99" s="172"/>
      <c r="L99" s="172"/>
      <c r="M99" s="173"/>
      <c r="N99" s="172"/>
      <c r="O99" s="174"/>
    </row>
    <row r="100" spans="1:15" ht="33.6" customHeight="1">
      <c r="A100" s="330" t="s">
        <v>386</v>
      </c>
      <c r="B100" s="343" t="s">
        <v>411</v>
      </c>
      <c r="C100" s="336" t="s">
        <v>412</v>
      </c>
      <c r="D100" s="336" t="s">
        <v>79</v>
      </c>
      <c r="E100" s="531" t="s">
        <v>413</v>
      </c>
      <c r="F100" s="339">
        <v>5</v>
      </c>
      <c r="H100" s="171"/>
      <c r="I100" s="172"/>
      <c r="J100" s="172"/>
      <c r="K100" s="172"/>
      <c r="L100" s="172"/>
      <c r="M100" s="173"/>
      <c r="N100" s="172"/>
      <c r="O100" s="174"/>
    </row>
    <row r="101" spans="1:15" ht="23.1" customHeight="1">
      <c r="A101" s="331"/>
      <c r="B101" s="382"/>
      <c r="C101" s="333"/>
      <c r="D101" s="333"/>
      <c r="E101" s="338"/>
      <c r="F101" s="340"/>
      <c r="H101" s="171"/>
      <c r="I101" s="172"/>
      <c r="J101" s="172"/>
      <c r="K101" s="172"/>
      <c r="L101" s="172"/>
      <c r="M101" s="173"/>
      <c r="N101" s="172"/>
      <c r="O101" s="174"/>
    </row>
    <row r="102" spans="1:15" ht="17.100000000000001" customHeight="1">
      <c r="A102" s="330" t="s">
        <v>386</v>
      </c>
      <c r="B102" s="343" t="s">
        <v>414</v>
      </c>
      <c r="C102" s="343" t="s">
        <v>415</v>
      </c>
      <c r="D102" s="336" t="s">
        <v>416</v>
      </c>
      <c r="E102" s="337" t="s">
        <v>417</v>
      </c>
      <c r="F102" s="339">
        <v>5</v>
      </c>
      <c r="H102" s="330"/>
      <c r="I102" s="367"/>
      <c r="J102" s="367"/>
      <c r="K102" s="367"/>
      <c r="L102" s="367"/>
      <c r="M102" s="370" t="s">
        <v>338</v>
      </c>
      <c r="N102" s="367"/>
      <c r="O102" s="345"/>
    </row>
    <row r="103" spans="1:15" ht="24.6" customHeight="1">
      <c r="A103" s="331"/>
      <c r="B103" s="382"/>
      <c r="C103" s="382"/>
      <c r="D103" s="333"/>
      <c r="E103" s="338"/>
      <c r="F103" s="340"/>
      <c r="H103" s="331"/>
      <c r="I103" s="368"/>
      <c r="J103" s="368"/>
      <c r="K103" s="368"/>
      <c r="L103" s="368"/>
      <c r="M103" s="371"/>
      <c r="N103" s="368"/>
      <c r="O103" s="346"/>
    </row>
    <row r="104" spans="1:15" ht="16.5" customHeight="1">
      <c r="A104" s="330" t="s">
        <v>386</v>
      </c>
      <c r="B104" s="343" t="s">
        <v>418</v>
      </c>
      <c r="C104" s="336" t="s">
        <v>419</v>
      </c>
      <c r="D104" s="336" t="s">
        <v>420</v>
      </c>
      <c r="E104" s="337">
        <v>46051</v>
      </c>
      <c r="F104" s="339">
        <v>5</v>
      </c>
      <c r="H104" s="330"/>
      <c r="I104" s="367"/>
      <c r="J104" s="367"/>
      <c r="K104" s="367"/>
      <c r="L104" s="367"/>
      <c r="M104" s="370"/>
      <c r="N104" s="367"/>
      <c r="O104" s="345"/>
    </row>
    <row r="105" spans="1:15" ht="30.6" customHeight="1">
      <c r="A105" s="331"/>
      <c r="B105" s="382"/>
      <c r="C105" s="333"/>
      <c r="D105" s="333"/>
      <c r="E105" s="338"/>
      <c r="F105" s="340"/>
      <c r="H105" s="331"/>
      <c r="I105" s="368"/>
      <c r="J105" s="368"/>
      <c r="K105" s="368"/>
      <c r="L105" s="368"/>
      <c r="M105" s="371"/>
      <c r="N105" s="368"/>
      <c r="O105" s="346"/>
    </row>
    <row r="106" spans="1:15" ht="16.5" customHeight="1">
      <c r="A106" s="330" t="s">
        <v>386</v>
      </c>
      <c r="B106" s="343" t="s">
        <v>421</v>
      </c>
      <c r="C106" s="336" t="s">
        <v>422</v>
      </c>
      <c r="D106" s="336" t="s">
        <v>423</v>
      </c>
      <c r="E106" s="337">
        <v>46052</v>
      </c>
      <c r="F106" s="107">
        <v>5</v>
      </c>
      <c r="H106" s="330"/>
      <c r="I106" s="330"/>
      <c r="J106" s="330"/>
      <c r="K106" s="330"/>
      <c r="L106" s="330"/>
      <c r="M106" s="330"/>
      <c r="N106" s="330"/>
      <c r="O106" s="330"/>
    </row>
    <row r="107" spans="1:15" ht="29.85" customHeight="1">
      <c r="A107" s="331"/>
      <c r="B107" s="382"/>
      <c r="C107" s="333"/>
      <c r="D107" s="333"/>
      <c r="E107" s="338"/>
      <c r="F107" s="108"/>
      <c r="H107" s="331"/>
      <c r="I107" s="331"/>
      <c r="J107" s="331"/>
      <c r="K107" s="331"/>
      <c r="L107" s="331"/>
      <c r="M107" s="331"/>
      <c r="N107" s="331"/>
      <c r="O107" s="331"/>
    </row>
    <row r="108" spans="1:15" ht="23.1" customHeight="1">
      <c r="A108" s="330" t="s">
        <v>386</v>
      </c>
      <c r="B108" s="343" t="s">
        <v>424</v>
      </c>
      <c r="C108" s="336" t="s">
        <v>425</v>
      </c>
      <c r="D108" s="336" t="s">
        <v>426</v>
      </c>
      <c r="E108" s="531" t="s">
        <v>427</v>
      </c>
      <c r="F108" s="107">
        <v>5</v>
      </c>
      <c r="H108" s="171"/>
      <c r="I108" s="175"/>
      <c r="J108" s="175"/>
      <c r="K108" s="175"/>
      <c r="L108" s="175"/>
      <c r="M108" s="175"/>
      <c r="N108" s="175"/>
      <c r="O108" s="176"/>
    </row>
    <row r="109" spans="1:15" ht="23.1" customHeight="1">
      <c r="A109" s="331"/>
      <c r="B109" s="382"/>
      <c r="C109" s="333"/>
      <c r="D109" s="333"/>
      <c r="E109" s="338"/>
      <c r="F109" s="108"/>
      <c r="H109" s="171"/>
      <c r="I109" s="175"/>
      <c r="J109" s="175"/>
      <c r="K109" s="175"/>
      <c r="L109" s="175"/>
      <c r="M109" s="175"/>
      <c r="N109" s="175"/>
      <c r="O109" s="176"/>
    </row>
    <row r="110" spans="1:15" ht="28.35" customHeight="1">
      <c r="A110" s="330" t="s">
        <v>386</v>
      </c>
      <c r="B110" s="343" t="s">
        <v>428</v>
      </c>
      <c r="C110" s="336" t="s">
        <v>429</v>
      </c>
      <c r="D110" s="336" t="s">
        <v>79</v>
      </c>
      <c r="E110" s="337" t="s">
        <v>430</v>
      </c>
      <c r="F110" s="339">
        <v>5</v>
      </c>
      <c r="H110" s="496"/>
      <c r="I110" s="372"/>
      <c r="J110" s="367"/>
      <c r="K110" s="372"/>
      <c r="L110" s="367"/>
      <c r="M110" s="370" t="s">
        <v>338</v>
      </c>
      <c r="N110" s="367"/>
      <c r="O110" s="345"/>
    </row>
    <row r="111" spans="1:15" ht="28.35" customHeight="1">
      <c r="A111" s="331"/>
      <c r="B111" s="382"/>
      <c r="C111" s="333"/>
      <c r="D111" s="333"/>
      <c r="E111" s="338"/>
      <c r="F111" s="340"/>
      <c r="H111" s="333"/>
      <c r="I111" s="373"/>
      <c r="J111" s="368"/>
      <c r="K111" s="373"/>
      <c r="L111" s="368"/>
      <c r="M111" s="371"/>
      <c r="N111" s="368"/>
      <c r="O111" s="346"/>
    </row>
    <row r="112" spans="1:15" ht="33" customHeight="1">
      <c r="A112" s="532" t="s">
        <v>401</v>
      </c>
      <c r="B112" s="343" t="s">
        <v>431</v>
      </c>
      <c r="C112" s="336" t="s">
        <v>432</v>
      </c>
      <c r="D112" s="336" t="s">
        <v>433</v>
      </c>
      <c r="E112" s="337">
        <v>46172</v>
      </c>
      <c r="F112" s="107">
        <v>5</v>
      </c>
      <c r="H112" s="171"/>
      <c r="I112" s="172"/>
      <c r="J112" s="172"/>
      <c r="K112" s="172"/>
      <c r="L112" s="172"/>
      <c r="M112" s="173"/>
      <c r="N112" s="172"/>
      <c r="O112" s="174"/>
    </row>
    <row r="113" spans="1:17" ht="33" customHeight="1">
      <c r="A113" s="533"/>
      <c r="B113" s="382"/>
      <c r="C113" s="333"/>
      <c r="D113" s="333"/>
      <c r="E113" s="338"/>
      <c r="F113" s="108"/>
      <c r="H113" s="171"/>
      <c r="I113" s="172"/>
      <c r="J113" s="172"/>
      <c r="K113" s="172"/>
      <c r="L113" s="172"/>
      <c r="M113" s="173"/>
      <c r="N113" s="172"/>
      <c r="O113" s="174"/>
    </row>
    <row r="114" spans="1:17" ht="16.5" customHeight="1">
      <c r="A114" s="532" t="s">
        <v>401</v>
      </c>
      <c r="B114" s="343" t="s">
        <v>434</v>
      </c>
      <c r="C114" s="336" t="s">
        <v>435</v>
      </c>
      <c r="D114" s="336" t="s">
        <v>389</v>
      </c>
      <c r="E114" s="337">
        <v>46079</v>
      </c>
      <c r="F114" s="107">
        <v>5</v>
      </c>
      <c r="H114" s="330"/>
      <c r="I114" s="367"/>
      <c r="J114" s="367"/>
      <c r="K114" s="367"/>
      <c r="L114" s="367"/>
      <c r="M114" s="370"/>
      <c r="N114" s="367"/>
      <c r="O114" s="345"/>
    </row>
    <row r="115" spans="1:17" ht="17.100000000000001" customHeight="1">
      <c r="A115" s="533"/>
      <c r="B115" s="382"/>
      <c r="C115" s="333"/>
      <c r="D115" s="333"/>
      <c r="E115" s="338"/>
      <c r="F115" s="108"/>
      <c r="H115" s="376"/>
      <c r="I115" s="379"/>
      <c r="J115" s="379"/>
      <c r="K115" s="379"/>
      <c r="L115" s="379"/>
      <c r="M115" s="380"/>
      <c r="N115" s="379"/>
      <c r="O115" s="381"/>
    </row>
    <row r="116" spans="1:17">
      <c r="A116" s="34" t="s">
        <v>195</v>
      </c>
      <c r="B116" s="34" t="s">
        <v>196</v>
      </c>
      <c r="C116" s="35" t="s">
        <v>197</v>
      </c>
      <c r="D116" s="35" t="s">
        <v>198</v>
      </c>
      <c r="E116" s="377" t="s">
        <v>199</v>
      </c>
      <c r="F116" s="378"/>
      <c r="G116" s="28"/>
    </row>
    <row r="117" spans="1:17">
      <c r="A117" s="28"/>
      <c r="C117" s="28"/>
      <c r="D117" s="28"/>
      <c r="E117" s="28"/>
      <c r="F117" s="28"/>
      <c r="G117" s="28"/>
    </row>
    <row r="118" spans="1:17">
      <c r="C118" s="28"/>
      <c r="D118" s="28"/>
      <c r="E118" s="28"/>
      <c r="F118" s="28"/>
      <c r="G118" s="28"/>
      <c r="H118" s="28"/>
    </row>
    <row r="119" spans="1:17" ht="15" thickBot="1"/>
    <row r="120" spans="1:17">
      <c r="A120" s="512" t="s">
        <v>436</v>
      </c>
      <c r="B120" s="513"/>
      <c r="C120" s="513"/>
      <c r="D120" s="165"/>
      <c r="E120" s="505" t="s">
        <v>437</v>
      </c>
      <c r="F120" s="506"/>
      <c r="G120" s="506"/>
      <c r="H120" s="506"/>
      <c r="I120" s="506"/>
      <c r="J120" s="506"/>
      <c r="K120" s="506"/>
      <c r="L120" s="506"/>
      <c r="M120" s="506"/>
      <c r="N120" s="506"/>
      <c r="O120" s="506"/>
      <c r="P120" s="507"/>
      <c r="Q120" s="166" t="s">
        <v>438</v>
      </c>
    </row>
    <row r="121" spans="1:17">
      <c r="A121" s="167" t="s">
        <v>439</v>
      </c>
      <c r="B121" s="130" t="s">
        <v>440</v>
      </c>
      <c r="C121" s="130" t="s">
        <v>441</v>
      </c>
      <c r="D121" s="178" t="s">
        <v>442</v>
      </c>
      <c r="E121" s="131" t="s">
        <v>11</v>
      </c>
      <c r="F121" s="131" t="s">
        <v>12</v>
      </c>
      <c r="G121" s="131" t="s">
        <v>443</v>
      </c>
      <c r="H121" s="131" t="s">
        <v>14</v>
      </c>
      <c r="I121" s="131" t="s">
        <v>15</v>
      </c>
      <c r="J121" s="131" t="s">
        <v>444</v>
      </c>
      <c r="K121" s="131" t="s">
        <v>17</v>
      </c>
      <c r="L121" s="131" t="s">
        <v>18</v>
      </c>
      <c r="M121" s="131" t="s">
        <v>296</v>
      </c>
      <c r="N121" s="131" t="s">
        <v>20</v>
      </c>
      <c r="O121" s="131" t="s">
        <v>21</v>
      </c>
      <c r="P121" s="131" t="s">
        <v>22</v>
      </c>
      <c r="Q121" s="168"/>
    </row>
    <row r="122" spans="1:17">
      <c r="A122" s="508" t="s">
        <v>445</v>
      </c>
      <c r="B122" s="109" t="s">
        <v>446</v>
      </c>
      <c r="C122" s="163" t="s">
        <v>447</v>
      </c>
      <c r="D122" s="201">
        <v>130</v>
      </c>
      <c r="E122" s="202">
        <f>96/130</f>
        <v>0.7384615384615385</v>
      </c>
      <c r="F122" s="202">
        <f>115/130</f>
        <v>0.88461538461538458</v>
      </c>
      <c r="G122" s="203">
        <f>107/130</f>
        <v>0.82307692307692304</v>
      </c>
      <c r="H122" s="282">
        <f>110/130</f>
        <v>0.84615384615384615</v>
      </c>
      <c r="I122" s="205">
        <f>115/130</f>
        <v>0.88461538461538458</v>
      </c>
      <c r="J122" s="295">
        <f>125/130</f>
        <v>0.96153846153846156</v>
      </c>
      <c r="K122" s="204">
        <v>1</v>
      </c>
      <c r="L122" s="204">
        <v>1</v>
      </c>
      <c r="M122" s="39"/>
      <c r="N122" s="39"/>
      <c r="O122" s="39"/>
      <c r="P122" s="39"/>
      <c r="Q122" s="113"/>
    </row>
    <row r="123" spans="1:17" ht="29.1">
      <c r="A123" s="508"/>
      <c r="B123" s="109" t="s">
        <v>448</v>
      </c>
      <c r="C123" s="163" t="s">
        <v>449</v>
      </c>
      <c r="D123" s="201">
        <v>21</v>
      </c>
      <c r="E123" s="202">
        <f>11/27</f>
        <v>0.40740740740740738</v>
      </c>
      <c r="F123" s="202">
        <f>15/27</f>
        <v>0.55555555555555558</v>
      </c>
      <c r="G123" s="202">
        <f>21/27</f>
        <v>0.77777777777777779</v>
      </c>
      <c r="H123" s="202">
        <f>18/21</f>
        <v>0.8571428571428571</v>
      </c>
      <c r="I123" s="202">
        <f>20/21</f>
        <v>0.95238095238095233</v>
      </c>
      <c r="J123" s="204">
        <v>1</v>
      </c>
      <c r="K123" s="322">
        <v>1</v>
      </c>
      <c r="L123" s="322">
        <v>1</v>
      </c>
      <c r="M123" s="39"/>
      <c r="N123" s="39"/>
      <c r="O123" s="39"/>
      <c r="P123" s="39"/>
      <c r="Q123" s="113"/>
    </row>
    <row r="124" spans="1:17" ht="43.5">
      <c r="A124" s="116" t="s">
        <v>450</v>
      </c>
      <c r="B124" s="109" t="s">
        <v>451</v>
      </c>
      <c r="C124" s="152" t="s">
        <v>452</v>
      </c>
      <c r="D124" s="201">
        <v>161</v>
      </c>
      <c r="E124" s="202">
        <f>99/163</f>
        <v>0.6073619631901841</v>
      </c>
      <c r="F124" s="202">
        <f>108/164</f>
        <v>0.65853658536585369</v>
      </c>
      <c r="G124" s="203">
        <f>127/162</f>
        <v>0.78395061728395066</v>
      </c>
      <c r="H124" s="202">
        <f>130/161</f>
        <v>0.80745341614906829</v>
      </c>
      <c r="I124" s="202">
        <f>130/161</f>
        <v>0.80745341614906829</v>
      </c>
      <c r="J124" s="327">
        <f>145/161</f>
        <v>0.90062111801242239</v>
      </c>
      <c r="K124" s="327">
        <f>153/161</f>
        <v>0.9503105590062112</v>
      </c>
      <c r="L124" s="327">
        <f>153/161</f>
        <v>0.9503105590062112</v>
      </c>
      <c r="M124" s="39"/>
      <c r="N124" s="39"/>
      <c r="O124" s="39"/>
      <c r="P124" s="39"/>
      <c r="Q124" s="113"/>
    </row>
    <row r="125" spans="1:17" ht="29.1">
      <c r="A125" s="508" t="s">
        <v>453</v>
      </c>
      <c r="B125" s="109" t="s">
        <v>454</v>
      </c>
      <c r="C125" s="163" t="s">
        <v>455</v>
      </c>
      <c r="D125" s="201">
        <v>82</v>
      </c>
      <c r="E125" s="202">
        <f>67/$D$125</f>
        <v>0.81707317073170727</v>
      </c>
      <c r="F125" s="202">
        <f>67/$D$125</f>
        <v>0.81707317073170727</v>
      </c>
      <c r="G125" s="204">
        <v>1</v>
      </c>
      <c r="H125" s="204">
        <v>1</v>
      </c>
      <c r="I125" s="204">
        <v>1</v>
      </c>
      <c r="J125" s="204">
        <v>1</v>
      </c>
      <c r="K125" s="204">
        <v>1</v>
      </c>
      <c r="L125" s="204">
        <v>1</v>
      </c>
      <c r="M125" s="39"/>
      <c r="N125" s="39"/>
      <c r="O125" s="39"/>
      <c r="P125" s="39"/>
      <c r="Q125" s="113"/>
    </row>
    <row r="126" spans="1:17" ht="29.1">
      <c r="A126" s="508"/>
      <c r="B126" s="109" t="s">
        <v>456</v>
      </c>
      <c r="C126" s="163" t="s">
        <v>457</v>
      </c>
      <c r="D126" s="201">
        <v>82</v>
      </c>
      <c r="E126" s="202">
        <f>5/82</f>
        <v>6.097560975609756E-2</v>
      </c>
      <c r="F126" s="202">
        <f>5/82</f>
        <v>6.097560975609756E-2</v>
      </c>
      <c r="G126" s="205">
        <f>7/82</f>
        <v>8.5365853658536592E-2</v>
      </c>
      <c r="H126" s="283">
        <f>18/82</f>
        <v>0.21951219512195122</v>
      </c>
      <c r="I126" s="283">
        <f>33/82</f>
        <v>0.40243902439024393</v>
      </c>
      <c r="J126" s="296">
        <f>64/84</f>
        <v>0.76190476190476186</v>
      </c>
      <c r="K126" s="296">
        <f>64/84</f>
        <v>0.76190476190476186</v>
      </c>
      <c r="L126" s="296">
        <f>68/85</f>
        <v>0.8</v>
      </c>
      <c r="M126" s="39"/>
      <c r="N126" s="39"/>
      <c r="O126" s="39"/>
      <c r="P126" s="39"/>
      <c r="Q126" s="113"/>
    </row>
    <row r="127" spans="1:17" ht="15" thickBot="1">
      <c r="A127" s="511"/>
      <c r="B127" s="117" t="s">
        <v>458</v>
      </c>
      <c r="C127" s="169" t="s">
        <v>459</v>
      </c>
      <c r="D127" s="201">
        <v>82</v>
      </c>
      <c r="E127" s="206">
        <f>11/82</f>
        <v>0.13414634146341464</v>
      </c>
      <c r="F127" s="206">
        <f>11/82</f>
        <v>0.13414634146341464</v>
      </c>
      <c r="G127" s="284">
        <f>20/82</f>
        <v>0.24390243902439024</v>
      </c>
      <c r="H127" s="253">
        <f>23/82</f>
        <v>0.28048780487804881</v>
      </c>
      <c r="I127" s="253">
        <f>24/82</f>
        <v>0.29268292682926828</v>
      </c>
      <c r="J127" s="296">
        <f>40/84</f>
        <v>0.47619047619047616</v>
      </c>
      <c r="K127" s="296">
        <f>70/84</f>
        <v>0.83333333333333337</v>
      </c>
      <c r="L127" s="204">
        <f>80/85</f>
        <v>0.94117647058823528</v>
      </c>
      <c r="M127" s="114"/>
      <c r="N127" s="114"/>
      <c r="O127" s="114"/>
      <c r="P127" s="114"/>
      <c r="Q127" s="115"/>
    </row>
    <row r="128" spans="1:17" ht="29.1">
      <c r="A128" s="155" t="s">
        <v>460</v>
      </c>
      <c r="B128" s="156" t="s">
        <v>461</v>
      </c>
      <c r="C128" s="157" t="s">
        <v>462</v>
      </c>
      <c r="D128" s="158"/>
      <c r="E128" s="159"/>
      <c r="F128" s="158"/>
      <c r="G128" s="158"/>
      <c r="H128" s="158"/>
      <c r="I128" s="158"/>
      <c r="J128" s="158"/>
      <c r="K128" s="158"/>
      <c r="L128" s="160"/>
      <c r="M128" s="160"/>
      <c r="N128" s="160"/>
      <c r="O128" s="160"/>
      <c r="P128" s="161"/>
      <c r="Q128" s="162"/>
    </row>
    <row r="129" spans="1:17" ht="43.5">
      <c r="A129" s="509" t="s">
        <v>463</v>
      </c>
      <c r="B129" s="136" t="s">
        <v>464</v>
      </c>
      <c r="C129" s="137" t="s">
        <v>465</v>
      </c>
      <c r="D129" s="140"/>
      <c r="E129" s="141"/>
      <c r="F129" s="140"/>
      <c r="G129" s="140"/>
      <c r="H129" s="140"/>
      <c r="I129" s="140"/>
      <c r="J129" s="140"/>
      <c r="K129" s="140"/>
      <c r="L129" s="142"/>
      <c r="M129" s="142"/>
      <c r="N129" s="142"/>
      <c r="O129" s="142"/>
      <c r="P129" s="143"/>
      <c r="Q129" s="144"/>
    </row>
    <row r="130" spans="1:17" ht="43.5">
      <c r="A130" s="509"/>
      <c r="B130" s="136" t="s">
        <v>466</v>
      </c>
      <c r="C130" s="137" t="s">
        <v>467</v>
      </c>
      <c r="D130" s="140"/>
      <c r="E130" s="145"/>
      <c r="F130" s="142"/>
      <c r="G130" s="142"/>
      <c r="H130" s="142"/>
      <c r="I130" s="142"/>
      <c r="J130" s="142"/>
      <c r="K130" s="142"/>
      <c r="L130" s="142"/>
      <c r="M130" s="142"/>
      <c r="N130" s="142"/>
      <c r="O130" s="142"/>
      <c r="P130" s="143"/>
      <c r="Q130" s="144"/>
    </row>
    <row r="131" spans="1:17" ht="29.1">
      <c r="A131" s="509"/>
      <c r="B131" s="136" t="s">
        <v>468</v>
      </c>
      <c r="C131" s="137" t="s">
        <v>469</v>
      </c>
      <c r="D131" s="140"/>
      <c r="E131" s="145"/>
      <c r="F131" s="142"/>
      <c r="G131" s="142"/>
      <c r="H131" s="142"/>
      <c r="I131" s="142"/>
      <c r="J131" s="142"/>
      <c r="K131" s="142"/>
      <c r="L131" s="142"/>
      <c r="M131" s="142"/>
      <c r="N131" s="142"/>
      <c r="O131" s="142"/>
      <c r="P131" s="143"/>
      <c r="Q131" s="144"/>
    </row>
    <row r="132" spans="1:17" ht="43.5">
      <c r="A132" s="509" t="s">
        <v>470</v>
      </c>
      <c r="B132" s="136" t="s">
        <v>471</v>
      </c>
      <c r="C132" s="137" t="s">
        <v>472</v>
      </c>
      <c r="D132" s="140"/>
      <c r="E132" s="145"/>
      <c r="F132" s="142"/>
      <c r="G132" s="142"/>
      <c r="H132" s="142"/>
      <c r="I132" s="142"/>
      <c r="J132" s="142"/>
      <c r="K132" s="142"/>
      <c r="L132" s="142"/>
      <c r="M132" s="142"/>
      <c r="N132" s="142"/>
      <c r="O132" s="142"/>
      <c r="P132" s="143"/>
      <c r="Q132" s="144"/>
    </row>
    <row r="133" spans="1:17" ht="15" thickBot="1">
      <c r="A133" s="510"/>
      <c r="B133" s="138" t="s">
        <v>473</v>
      </c>
      <c r="C133" s="139"/>
      <c r="D133" s="140"/>
      <c r="E133" s="146"/>
      <c r="F133" s="147"/>
      <c r="G133" s="147"/>
      <c r="H133" s="147"/>
      <c r="I133" s="147"/>
      <c r="J133" s="147"/>
      <c r="K133" s="147"/>
      <c r="L133" s="147"/>
      <c r="M133" s="147"/>
      <c r="N133" s="147"/>
      <c r="O133" s="147"/>
      <c r="P133" s="148"/>
      <c r="Q133" s="149"/>
    </row>
    <row r="134" spans="1:17">
      <c r="C134" s="33"/>
    </row>
    <row r="135" spans="1:17">
      <c r="B135" t="s">
        <v>474</v>
      </c>
    </row>
    <row r="136" spans="1:17">
      <c r="B136" t="s">
        <v>475</v>
      </c>
    </row>
    <row r="139" spans="1:17">
      <c r="B139" s="151" t="s">
        <v>476</v>
      </c>
      <c r="C139" s="151" t="s">
        <v>477</v>
      </c>
      <c r="D139" s="152" t="s">
        <v>11</v>
      </c>
      <c r="E139" s="39" t="s">
        <v>12</v>
      </c>
      <c r="F139" s="152" t="s">
        <v>443</v>
      </c>
      <c r="G139" s="39" t="s">
        <v>14</v>
      </c>
      <c r="H139" s="152" t="s">
        <v>15</v>
      </c>
      <c r="I139" s="39" t="s">
        <v>444</v>
      </c>
      <c r="J139" s="152" t="s">
        <v>17</v>
      </c>
      <c r="K139" s="39" t="s">
        <v>18</v>
      </c>
    </row>
    <row r="140" spans="1:17">
      <c r="B140" s="152" t="s">
        <v>478</v>
      </c>
      <c r="C140" s="153">
        <v>0.25</v>
      </c>
      <c r="D140" s="153">
        <f>C140*E122</f>
        <v>0.18461538461538463</v>
      </c>
      <c r="E140" s="164">
        <f>C140*F122</f>
        <v>0.22115384615384615</v>
      </c>
      <c r="F140" s="207">
        <f>C140*G122</f>
        <v>0.20576923076923076</v>
      </c>
      <c r="G140" s="164">
        <f>H122*C140</f>
        <v>0.21153846153846154</v>
      </c>
      <c r="H140" s="164">
        <f>C140*I122</f>
        <v>0.22115384615384615</v>
      </c>
      <c r="I140" s="164">
        <f>C140*J122</f>
        <v>0.24038461538461539</v>
      </c>
      <c r="J140" s="164">
        <f>C140*K122</f>
        <v>0.25</v>
      </c>
      <c r="K140" s="164">
        <f>C140*L122</f>
        <v>0.25</v>
      </c>
    </row>
    <row r="141" spans="1:17">
      <c r="B141" s="152" t="s">
        <v>479</v>
      </c>
      <c r="C141" s="153">
        <v>0.25</v>
      </c>
      <c r="D141" s="153">
        <f>C141*E125</f>
        <v>0.20426829268292682</v>
      </c>
      <c r="E141" s="164">
        <f>C141*F125</f>
        <v>0.20426829268292682</v>
      </c>
      <c r="F141" s="164">
        <f>C141*G125</f>
        <v>0.25</v>
      </c>
      <c r="G141" s="164">
        <v>0.25</v>
      </c>
      <c r="H141" s="164">
        <v>0.25</v>
      </c>
      <c r="I141" s="164">
        <v>0.25</v>
      </c>
      <c r="J141" s="164">
        <v>0.25</v>
      </c>
      <c r="K141" s="164">
        <v>0.25</v>
      </c>
    </row>
    <row r="142" spans="1:17">
      <c r="B142" s="152" t="s">
        <v>480</v>
      </c>
      <c r="C142" s="153">
        <v>0.25</v>
      </c>
      <c r="D142" s="153">
        <f>C142*E124</f>
        <v>0.15184049079754602</v>
      </c>
      <c r="E142" s="164">
        <f>C142*F124</f>
        <v>0.16463414634146342</v>
      </c>
      <c r="F142" s="164">
        <f>C142*G124</f>
        <v>0.19598765432098766</v>
      </c>
      <c r="G142" s="164">
        <f>H124*C142</f>
        <v>0.20186335403726707</v>
      </c>
      <c r="H142" s="164">
        <f>C142*I124</f>
        <v>0.20186335403726707</v>
      </c>
      <c r="I142" s="164">
        <f>C142*J124</f>
        <v>0.2251552795031056</v>
      </c>
      <c r="J142" s="164">
        <f>C142*K124</f>
        <v>0.2375776397515528</v>
      </c>
      <c r="K142" s="164">
        <f>C142*L124</f>
        <v>0.2375776397515528</v>
      </c>
    </row>
    <row r="143" spans="1:17">
      <c r="B143" s="152" t="s">
        <v>456</v>
      </c>
      <c r="C143" s="153">
        <v>0.25</v>
      </c>
      <c r="D143" s="153">
        <f>C143*E126</f>
        <v>1.524390243902439E-2</v>
      </c>
      <c r="E143" s="164">
        <f>C143*F126</f>
        <v>1.524390243902439E-2</v>
      </c>
      <c r="F143" s="164">
        <f>C143*G126</f>
        <v>2.1341463414634148E-2</v>
      </c>
      <c r="G143" s="164">
        <f>H126*C143</f>
        <v>5.4878048780487805E-2</v>
      </c>
      <c r="H143" s="164">
        <f>I126*C143</f>
        <v>0.10060975609756098</v>
      </c>
      <c r="I143" s="164">
        <f>J126*C143</f>
        <v>0.19047619047619047</v>
      </c>
      <c r="J143" s="164">
        <f>K126*C143</f>
        <v>0.19047619047619047</v>
      </c>
      <c r="K143" s="164">
        <f>L126*C143</f>
        <v>0.2</v>
      </c>
    </row>
    <row r="144" spans="1:17">
      <c r="B144" s="151" t="s">
        <v>481</v>
      </c>
      <c r="C144" s="154">
        <v>1</v>
      </c>
      <c r="D144" s="153">
        <f t="shared" ref="D144:I144" si="75">SUM(D140:D143)</f>
        <v>0.55596807053488184</v>
      </c>
      <c r="E144" s="132">
        <f t="shared" si="75"/>
        <v>0.60530018761726079</v>
      </c>
      <c r="F144" s="132">
        <f t="shared" si="75"/>
        <v>0.67309834850485262</v>
      </c>
      <c r="G144" s="132">
        <f t="shared" si="75"/>
        <v>0.71827986435621649</v>
      </c>
      <c r="H144" s="132">
        <f t="shared" si="75"/>
        <v>0.77362695628867417</v>
      </c>
      <c r="I144" s="132">
        <f t="shared" si="75"/>
        <v>0.90601608536391143</v>
      </c>
      <c r="J144" s="132">
        <f>SUM(J140:J143)</f>
        <v>0.92805383022774324</v>
      </c>
      <c r="K144" s="132">
        <f>SUM(K140:K143)</f>
        <v>0.93757763975155273</v>
      </c>
    </row>
  </sheetData>
  <mergeCells count="222">
    <mergeCell ref="D96:D97"/>
    <mergeCell ref="E96:E97"/>
    <mergeCell ref="A98:A99"/>
    <mergeCell ref="B98:B99"/>
    <mergeCell ref="C98:C99"/>
    <mergeCell ref="D98:D99"/>
    <mergeCell ref="E98:E99"/>
    <mergeCell ref="O104:O105"/>
    <mergeCell ref="E108:E109"/>
    <mergeCell ref="O110:O111"/>
    <mergeCell ref="A110:A111"/>
    <mergeCell ref="B110:B111"/>
    <mergeCell ref="C110:C111"/>
    <mergeCell ref="D110:D111"/>
    <mergeCell ref="E110:E111"/>
    <mergeCell ref="F110:F111"/>
    <mergeCell ref="H110:H111"/>
    <mergeCell ref="I110:I111"/>
    <mergeCell ref="J110:J111"/>
    <mergeCell ref="A92:A93"/>
    <mergeCell ref="B92:B93"/>
    <mergeCell ref="D92:D93"/>
    <mergeCell ref="C108:C109"/>
    <mergeCell ref="D108:D109"/>
    <mergeCell ref="E92:E93"/>
    <mergeCell ref="K110:K111"/>
    <mergeCell ref="L110:L111"/>
    <mergeCell ref="M110:M111"/>
    <mergeCell ref="K104:K105"/>
    <mergeCell ref="L104:L105"/>
    <mergeCell ref="E104:E105"/>
    <mergeCell ref="C104:C105"/>
    <mergeCell ref="F104:F105"/>
    <mergeCell ref="H106:H107"/>
    <mergeCell ref="A94:A95"/>
    <mergeCell ref="B94:B95"/>
    <mergeCell ref="C94:C95"/>
    <mergeCell ref="D94:D95"/>
    <mergeCell ref="B108:B109"/>
    <mergeCell ref="A108:A109"/>
    <mergeCell ref="A96:A97"/>
    <mergeCell ref="B96:B97"/>
    <mergeCell ref="C96:C97"/>
    <mergeCell ref="A112:A113"/>
    <mergeCell ref="B112:B113"/>
    <mergeCell ref="C112:C113"/>
    <mergeCell ref="D112:D113"/>
    <mergeCell ref="N104:N105"/>
    <mergeCell ref="M106:M107"/>
    <mergeCell ref="N106:N107"/>
    <mergeCell ref="I106:I107"/>
    <mergeCell ref="J106:J107"/>
    <mergeCell ref="K106:K107"/>
    <mergeCell ref="L106:L107"/>
    <mergeCell ref="A114:A115"/>
    <mergeCell ref="B114:B115"/>
    <mergeCell ref="C114:C115"/>
    <mergeCell ref="D114:D115"/>
    <mergeCell ref="N110:N111"/>
    <mergeCell ref="B88:B89"/>
    <mergeCell ref="C88:C89"/>
    <mergeCell ref="D88:D89"/>
    <mergeCell ref="E88:E89"/>
    <mergeCell ref="F88:F89"/>
    <mergeCell ref="H88:H89"/>
    <mergeCell ref="A106:A107"/>
    <mergeCell ref="B106:B107"/>
    <mergeCell ref="D106:D107"/>
    <mergeCell ref="C106:C107"/>
    <mergeCell ref="C92:C93"/>
    <mergeCell ref="A100:A101"/>
    <mergeCell ref="B100:B101"/>
    <mergeCell ref="D100:D101"/>
    <mergeCell ref="C100:C101"/>
    <mergeCell ref="E100:E101"/>
    <mergeCell ref="F100:F101"/>
    <mergeCell ref="A90:A91"/>
    <mergeCell ref="B90:B91"/>
    <mergeCell ref="K114:K115"/>
    <mergeCell ref="L114:L115"/>
    <mergeCell ref="I94:I95"/>
    <mergeCell ref="J94:J95"/>
    <mergeCell ref="K94:K95"/>
    <mergeCell ref="L94:L95"/>
    <mergeCell ref="E94:E95"/>
    <mergeCell ref="E114:E115"/>
    <mergeCell ref="H114:H115"/>
    <mergeCell ref="H94:H95"/>
    <mergeCell ref="E112:E113"/>
    <mergeCell ref="F102:F103"/>
    <mergeCell ref="H102:H103"/>
    <mergeCell ref="I102:I103"/>
    <mergeCell ref="J102:J103"/>
    <mergeCell ref="K102:K103"/>
    <mergeCell ref="L102:L103"/>
    <mergeCell ref="E106:E107"/>
    <mergeCell ref="O88:O89"/>
    <mergeCell ref="I88:I89"/>
    <mergeCell ref="J88:J89"/>
    <mergeCell ref="K88:K89"/>
    <mergeCell ref="L88:L89"/>
    <mergeCell ref="M88:M89"/>
    <mergeCell ref="N88:N89"/>
    <mergeCell ref="M94:M95"/>
    <mergeCell ref="N94:N95"/>
    <mergeCell ref="O94:O95"/>
    <mergeCell ref="G26:G27"/>
    <mergeCell ref="A26:A27"/>
    <mergeCell ref="B26:B27"/>
    <mergeCell ref="C26:C27"/>
    <mergeCell ref="D26:D27"/>
    <mergeCell ref="E26:E27"/>
    <mergeCell ref="F26:F27"/>
    <mergeCell ref="H84:O84"/>
    <mergeCell ref="A86:A87"/>
    <mergeCell ref="B86:B87"/>
    <mergeCell ref="C86:C87"/>
    <mergeCell ref="D86:D87"/>
    <mergeCell ref="E86:E87"/>
    <mergeCell ref="F86:F87"/>
    <mergeCell ref="H86:H87"/>
    <mergeCell ref="I86:I87"/>
    <mergeCell ref="J86:J87"/>
    <mergeCell ref="K86:K87"/>
    <mergeCell ref="L86:L87"/>
    <mergeCell ref="M86:M87"/>
    <mergeCell ref="N86:N87"/>
    <mergeCell ref="O86:O87"/>
    <mergeCell ref="F14:F15"/>
    <mergeCell ref="G14:G15"/>
    <mergeCell ref="A10:A11"/>
    <mergeCell ref="B10:B11"/>
    <mergeCell ref="C10:C11"/>
    <mergeCell ref="D10:D11"/>
    <mergeCell ref="E10:E11"/>
    <mergeCell ref="F10:F11"/>
    <mergeCell ref="A18:A19"/>
    <mergeCell ref="B18:B19"/>
    <mergeCell ref="C18:C19"/>
    <mergeCell ref="D18:D19"/>
    <mergeCell ref="E18:E19"/>
    <mergeCell ref="F18:F19"/>
    <mergeCell ref="G18:G19"/>
    <mergeCell ref="A16:A17"/>
    <mergeCell ref="B16:B17"/>
    <mergeCell ref="C16:C17"/>
    <mergeCell ref="D16:D17"/>
    <mergeCell ref="F16:F17"/>
    <mergeCell ref="G16:G17"/>
    <mergeCell ref="E16:E17"/>
    <mergeCell ref="F6:F7"/>
    <mergeCell ref="G6:G7"/>
    <mergeCell ref="G10:G11"/>
    <mergeCell ref="A8:A9"/>
    <mergeCell ref="B8:B9"/>
    <mergeCell ref="C8:C9"/>
    <mergeCell ref="D8:D9"/>
    <mergeCell ref="E8:E9"/>
    <mergeCell ref="F8:F9"/>
    <mergeCell ref="G8:G9"/>
    <mergeCell ref="A132:A133"/>
    <mergeCell ref="A125:A127"/>
    <mergeCell ref="A120:C120"/>
    <mergeCell ref="A3:B3"/>
    <mergeCell ref="A6:A7"/>
    <mergeCell ref="B6:B7"/>
    <mergeCell ref="C6:C7"/>
    <mergeCell ref="D6:D7"/>
    <mergeCell ref="E6:E7"/>
    <mergeCell ref="A14:A15"/>
    <mergeCell ref="B14:B15"/>
    <mergeCell ref="C14:C15"/>
    <mergeCell ref="D14:D15"/>
    <mergeCell ref="E14:E15"/>
    <mergeCell ref="A46:E46"/>
    <mergeCell ref="A48:B48"/>
    <mergeCell ref="A49:A50"/>
    <mergeCell ref="B49:F49"/>
    <mergeCell ref="A84:F84"/>
    <mergeCell ref="A104:A105"/>
    <mergeCell ref="B104:B105"/>
    <mergeCell ref="D104:D105"/>
    <mergeCell ref="A88:A89"/>
    <mergeCell ref="A102:A103"/>
    <mergeCell ref="D90:D91"/>
    <mergeCell ref="E90:E91"/>
    <mergeCell ref="C90:C91"/>
    <mergeCell ref="E120:P120"/>
    <mergeCell ref="A122:A123"/>
    <mergeCell ref="A129:A131"/>
    <mergeCell ref="M102:M103"/>
    <mergeCell ref="N102:N103"/>
    <mergeCell ref="O102:O103"/>
    <mergeCell ref="H104:H105"/>
    <mergeCell ref="I104:I105"/>
    <mergeCell ref="J104:J105"/>
    <mergeCell ref="B102:B103"/>
    <mergeCell ref="C102:C103"/>
    <mergeCell ref="D102:D103"/>
    <mergeCell ref="E102:E103"/>
    <mergeCell ref="M114:M115"/>
    <mergeCell ref="N114:N115"/>
    <mergeCell ref="O114:O115"/>
    <mergeCell ref="O106:O107"/>
    <mergeCell ref="M104:M105"/>
    <mergeCell ref="E116:F116"/>
    <mergeCell ref="I114:I115"/>
    <mergeCell ref="J114:J115"/>
    <mergeCell ref="A24:A25"/>
    <mergeCell ref="B24:B25"/>
    <mergeCell ref="C24:C25"/>
    <mergeCell ref="D24:D25"/>
    <mergeCell ref="E24:E25"/>
    <mergeCell ref="F24:F25"/>
    <mergeCell ref="G24:G25"/>
    <mergeCell ref="A20:A23"/>
    <mergeCell ref="B20:B23"/>
    <mergeCell ref="C20:C23"/>
    <mergeCell ref="D20:D23"/>
    <mergeCell ref="E20:E23"/>
    <mergeCell ref="F20:F23"/>
    <mergeCell ref="G20:G23"/>
  </mergeCells>
  <phoneticPr fontId="29" type="noConversion"/>
  <conditionalFormatting sqref="A86:A94 H88:H115 I90:O94 A100:A111 I106:O109 A114:E114">
    <cfRule type="containsBlanks" dxfId="430" priority="83">
      <formula>LEN(TRIM(A86))=0</formula>
    </cfRule>
  </conditionalFormatting>
  <conditionalFormatting sqref="A96:E96">
    <cfRule type="containsBlanks" dxfId="429" priority="10">
      <formula>LEN(TRIM(A96))=0</formula>
    </cfRule>
  </conditionalFormatting>
  <conditionalFormatting sqref="A98:E98">
    <cfRule type="containsBlanks" dxfId="428" priority="3">
      <formula>LEN(TRIM(A98))=0</formula>
    </cfRule>
  </conditionalFormatting>
  <conditionalFormatting sqref="A112:E112">
    <cfRule type="containsBlanks" dxfId="427" priority="62">
      <formula>LEN(TRIM(A112))=0</formula>
    </cfRule>
  </conditionalFormatting>
  <conditionalFormatting sqref="A51:F51 B52:F52 A54:F54 B55:F55 A57:F57 B58:F58 A60:F60 B61:F61 A63:F63 B64:F64 A66:F66 B67:F67">
    <cfRule type="containsBlanks" dxfId="426" priority="132">
      <formula>LEN(TRIM(A51))=0</formula>
    </cfRule>
  </conditionalFormatting>
  <conditionalFormatting sqref="A6:G6 A8:G8 A10:G10">
    <cfRule type="containsBlanks" dxfId="425" priority="101">
      <formula>LEN(TRIM(A6))=0</formula>
    </cfRule>
  </conditionalFormatting>
  <conditionalFormatting sqref="A14:G14">
    <cfRule type="containsBlanks" dxfId="424" priority="100">
      <formula>LEN(TRIM(A14))=0</formula>
    </cfRule>
  </conditionalFormatting>
  <conditionalFormatting sqref="A18:G18">
    <cfRule type="containsBlanks" dxfId="423" priority="99">
      <formula>LEN(TRIM(A18))=0</formula>
    </cfRule>
  </conditionalFormatting>
  <conditionalFormatting sqref="A26:G26">
    <cfRule type="containsBlanks" dxfId="422" priority="98">
      <formula>LEN(TRIM(A26))=0</formula>
    </cfRule>
  </conditionalFormatting>
  <conditionalFormatting sqref="B92">
    <cfRule type="containsBlanks" dxfId="421" priority="45">
      <formula>LEN(TRIM(B92))=0</formula>
    </cfRule>
  </conditionalFormatting>
  <conditionalFormatting sqref="B86:E86">
    <cfRule type="containsBlanks" dxfId="420" priority="72">
      <formula>LEN(TRIM(B86))=0</formula>
    </cfRule>
  </conditionalFormatting>
  <conditionalFormatting sqref="B88:E88">
    <cfRule type="containsBlanks" dxfId="419" priority="82">
      <formula>LEN(TRIM(B88))=0</formula>
    </cfRule>
  </conditionalFormatting>
  <conditionalFormatting sqref="B90:E90">
    <cfRule type="containsBlanks" dxfId="418" priority="47">
      <formula>LEN(TRIM(B90))=0</formula>
    </cfRule>
  </conditionalFormatting>
  <conditionalFormatting sqref="B94:E94">
    <cfRule type="containsBlanks" dxfId="417" priority="71">
      <formula>LEN(TRIM(B94))=0</formula>
    </cfRule>
  </conditionalFormatting>
  <conditionalFormatting sqref="B100:E100">
    <cfRule type="containsBlanks" dxfId="416" priority="46">
      <formula>LEN(TRIM(B100))=0</formula>
    </cfRule>
  </conditionalFormatting>
  <conditionalFormatting sqref="B102:E102">
    <cfRule type="containsBlanks" dxfId="415" priority="140">
      <formula>LEN(TRIM(B102))=0</formula>
    </cfRule>
  </conditionalFormatting>
  <conditionalFormatting sqref="B104:E104">
    <cfRule type="containsBlanks" dxfId="414" priority="81">
      <formula>LEN(TRIM(B104))=0</formula>
    </cfRule>
  </conditionalFormatting>
  <conditionalFormatting sqref="B106:E106">
    <cfRule type="containsBlanks" dxfId="413" priority="80">
      <formula>LEN(TRIM(B106))=0</formula>
    </cfRule>
  </conditionalFormatting>
  <conditionalFormatting sqref="B108:E108">
    <cfRule type="containsBlanks" dxfId="412" priority="73">
      <formula>LEN(TRIM(B108))=0</formula>
    </cfRule>
  </conditionalFormatting>
  <conditionalFormatting sqref="B110:E110">
    <cfRule type="containsBlanks" dxfId="411" priority="63">
      <formula>LEN(TRIM(B110))=0</formula>
    </cfRule>
  </conditionalFormatting>
  <conditionalFormatting sqref="C20:C22 E20:G22">
    <cfRule type="containsBlanks" dxfId="410" priority="30">
      <formula>LEN(TRIM(C20))=0</formula>
    </cfRule>
  </conditionalFormatting>
  <conditionalFormatting sqref="C16:D16">
    <cfRule type="containsBlanks" dxfId="409" priority="97">
      <formula>LEN(TRIM(C16))=0</formula>
    </cfRule>
  </conditionalFormatting>
  <conditionalFormatting sqref="C24:G24">
    <cfRule type="containsBlanks" dxfId="408" priority="19">
      <formula>LEN(TRIM(C24))=0</formula>
    </cfRule>
  </conditionalFormatting>
  <conditionalFormatting sqref="D1">
    <cfRule type="containsBlanks" dxfId="407" priority="121">
      <formula>LEN(TRIM(D1))=0</formula>
    </cfRule>
  </conditionalFormatting>
  <conditionalFormatting sqref="D92:E92">
    <cfRule type="containsBlanks" dxfId="406" priority="37">
      <formula>LEN(TRIM(D92))=0</formula>
    </cfRule>
  </conditionalFormatting>
  <conditionalFormatting sqref="F1">
    <cfRule type="containsBlanks" dxfId="405" priority="147">
      <formula>LEN(TRIM(F1))=0</formula>
    </cfRule>
  </conditionalFormatting>
  <conditionalFormatting sqref="F86 F94 F102 F114">
    <cfRule type="expression" dxfId="404" priority="224">
      <formula>AND(#REF!&lt;&gt;"",E86&lt;TODAY(),F86&lt;4)</formula>
    </cfRule>
  </conditionalFormatting>
  <conditionalFormatting sqref="F88 F104">
    <cfRule type="expression" dxfId="403" priority="486">
      <formula>AND(#REF!&lt;&gt;"",E88&lt;TODAY(),F88&lt;4)</formula>
    </cfRule>
    <cfRule type="iconSet" priority="485">
      <iconSet iconSet="5Quarters" showValue="0">
        <cfvo type="percent" val="0"/>
        <cfvo type="num" val="2"/>
        <cfvo type="num" val="3"/>
        <cfvo type="num" val="4"/>
        <cfvo type="num" val="5"/>
      </iconSet>
    </cfRule>
  </conditionalFormatting>
  <conditionalFormatting sqref="F90">
    <cfRule type="iconSet" priority="48">
      <iconSet iconSet="5Quarters" showValue="0">
        <cfvo type="percent" val="0"/>
        <cfvo type="num" val="2"/>
        <cfvo type="num" val="3"/>
        <cfvo type="num" val="4"/>
        <cfvo type="num" val="5"/>
      </iconSet>
    </cfRule>
    <cfRule type="expression" dxfId="402" priority="49">
      <formula>AND(#REF!&lt;&gt;"",E90&lt;TODAY(),F90&lt;4)</formula>
    </cfRule>
  </conditionalFormatting>
  <conditionalFormatting sqref="F92">
    <cfRule type="expression" dxfId="401" priority="43">
      <formula>AND(#REF!&lt;&gt;"",E92&lt;TODAY(),F92&lt;4)</formula>
    </cfRule>
    <cfRule type="iconSet" priority="42">
      <iconSet iconSet="5Quarters" showValue="0">
        <cfvo type="percent" val="0"/>
        <cfvo type="num" val="2"/>
        <cfvo type="num" val="3"/>
        <cfvo type="num" val="4"/>
        <cfvo type="num" val="5"/>
      </iconSet>
    </cfRule>
  </conditionalFormatting>
  <conditionalFormatting sqref="F96">
    <cfRule type="expression" dxfId="400" priority="9">
      <formula>AND(#REF!&lt;&gt;"",E96&lt;TODAY(),F96&lt;4)</formula>
    </cfRule>
    <cfRule type="iconSet" priority="8">
      <iconSet iconSet="5Quarters" showValue="0">
        <cfvo type="percent" val="0"/>
        <cfvo type="num" val="2"/>
        <cfvo type="num" val="3"/>
        <cfvo type="num" val="4"/>
        <cfvo type="num" val="5"/>
      </iconSet>
    </cfRule>
  </conditionalFormatting>
  <conditionalFormatting sqref="F98">
    <cfRule type="expression" dxfId="399" priority="2">
      <formula>AND(#REF!&lt;&gt;"",E98&lt;TODAY(),F98&lt;4)</formula>
    </cfRule>
    <cfRule type="iconSet" priority="1">
      <iconSet iconSet="5Quarters" showValue="0">
        <cfvo type="percent" val="0"/>
        <cfvo type="num" val="2"/>
        <cfvo type="num" val="3"/>
        <cfvo type="num" val="4"/>
        <cfvo type="num" val="5"/>
      </iconSet>
    </cfRule>
  </conditionalFormatting>
  <conditionalFormatting sqref="F100">
    <cfRule type="iconSet" priority="483">
      <iconSet iconSet="5Quarters" showValue="0">
        <cfvo type="percent" val="0"/>
        <cfvo type="num" val="2"/>
        <cfvo type="num" val="3"/>
        <cfvo type="num" val="4"/>
        <cfvo type="num" val="5"/>
      </iconSet>
    </cfRule>
    <cfRule type="expression" dxfId="398" priority="484">
      <formula>AND(#REF!&lt;&gt;"",E100&lt;TODAY(),F100&lt;4)</formula>
    </cfRule>
  </conditionalFormatting>
  <conditionalFormatting sqref="F102 F114 F86 F94">
    <cfRule type="iconSet" priority="223">
      <iconSet iconSet="5Quarters" showValue="0">
        <cfvo type="percent" val="0"/>
        <cfvo type="num" val="2"/>
        <cfvo type="num" val="3"/>
        <cfvo type="num" val="4"/>
        <cfvo type="num" val="5"/>
      </iconSet>
    </cfRule>
  </conditionalFormatting>
  <conditionalFormatting sqref="F106">
    <cfRule type="expression" dxfId="397" priority="410">
      <formula>AND(#REF!&lt;&gt;"",E106&lt;TODAY(),F106&lt;4)</formula>
    </cfRule>
    <cfRule type="iconSet" priority="409">
      <iconSet iconSet="5Quarters" showValue="0">
        <cfvo type="percent" val="0"/>
        <cfvo type="num" val="2"/>
        <cfvo type="num" val="3"/>
        <cfvo type="num" val="4"/>
        <cfvo type="num" val="5"/>
      </iconSet>
    </cfRule>
  </conditionalFormatting>
  <conditionalFormatting sqref="F108">
    <cfRule type="expression" dxfId="396" priority="412">
      <formula>AND(#REF!&lt;&gt;"",E108&lt;TODAY(),F108&lt;4)</formula>
    </cfRule>
    <cfRule type="iconSet" priority="411">
      <iconSet iconSet="5Quarters" showValue="0">
        <cfvo type="percent" val="0"/>
        <cfvo type="num" val="2"/>
        <cfvo type="num" val="3"/>
        <cfvo type="num" val="4"/>
        <cfvo type="num" val="5"/>
      </iconSet>
    </cfRule>
  </conditionalFormatting>
  <conditionalFormatting sqref="F110">
    <cfRule type="expression" dxfId="395" priority="398">
      <formula>AND(#REF!&lt;&gt;"",E110&lt;TODAY(),F110&lt;4)</formula>
    </cfRule>
    <cfRule type="iconSet" priority="397">
      <iconSet iconSet="5Quarters" showValue="0">
        <cfvo type="percent" val="0"/>
        <cfvo type="num" val="2"/>
        <cfvo type="num" val="3"/>
        <cfvo type="num" val="4"/>
        <cfvo type="num" val="5"/>
      </iconSet>
    </cfRule>
  </conditionalFormatting>
  <conditionalFormatting sqref="F112">
    <cfRule type="expression" dxfId="394" priority="69">
      <formula>AND(#REF!&lt;&gt;"",E112&lt;TODAY(),F112&lt;4)</formula>
    </cfRule>
    <cfRule type="iconSet" priority="68">
      <iconSet iconSet="5Quarters" showValue="0">
        <cfvo type="percent" val="0"/>
        <cfvo type="num" val="2"/>
        <cfvo type="num" val="3"/>
        <cfvo type="num" val="4"/>
        <cfvo type="num" val="5"/>
      </iconSet>
    </cfRule>
  </conditionalFormatting>
  <conditionalFormatting sqref="F16:G16">
    <cfRule type="containsBlanks" dxfId="393" priority="102">
      <formula>LEN(TRIM(F16))=0</formula>
    </cfRule>
  </conditionalFormatting>
  <conditionalFormatting sqref="H86">
    <cfRule type="containsBlanks" dxfId="392" priority="128">
      <formula>LEN(TRIM(H86))=0</formula>
    </cfRule>
  </conditionalFormatting>
  <conditionalFormatting sqref="I27">
    <cfRule type="cellIs" dxfId="391" priority="79" operator="lessThan">
      <formula>0.8</formula>
    </cfRule>
  </conditionalFormatting>
  <conditionalFormatting sqref="I23:O23">
    <cfRule type="expression" dxfId="390" priority="26">
      <formula>AND(OR($F20="Lower the better", $F20="Lower the Better"), I23&lt;=I20)</formula>
    </cfRule>
    <cfRule type="containsBlanks" dxfId="389" priority="25">
      <formula>LEN(TRIM(I23))=0</formula>
    </cfRule>
    <cfRule type="expression" dxfId="388" priority="27">
      <formula>AND(OR($F20="Higher the better", $F20="Higher the Better"), I23&lt;I20)</formula>
    </cfRule>
    <cfRule type="expression" dxfId="387" priority="28" stopIfTrue="1">
      <formula>AND(OR($F20="Higher the better", $F20="Higher the Better"), I23&gt;=I20)</formula>
    </cfRule>
    <cfRule type="expression" dxfId="386" priority="29">
      <formula>AND(OR($F20="Lower the better", $F20="Lower the Better"), I23&gt;I20)</formula>
    </cfRule>
  </conditionalFormatting>
  <conditionalFormatting sqref="I25:O25">
    <cfRule type="expression" dxfId="385" priority="16">
      <formula>AND(OR($F24="Higher the better", $F24="Higher the Better"), I25&lt;I24)</formula>
    </cfRule>
    <cfRule type="expression" dxfId="384" priority="17" stopIfTrue="1">
      <formula>AND(OR($F24="Higher the better", $F24="Higher the Better"), I25&gt;=I24)</formula>
    </cfRule>
    <cfRule type="containsBlanks" dxfId="383" priority="18">
      <formula>LEN(TRIM(I25))=0</formula>
    </cfRule>
    <cfRule type="expression" dxfId="382" priority="14">
      <formula>AND(OR($F24="Lower the better", $F24="Lower the Better"), I25&gt;I24)</formula>
    </cfRule>
    <cfRule type="expression" dxfId="381" priority="15">
      <formula>AND(OR($F24="Lower the better", $F24="Lower the Better"), I25&lt;=I24)</formula>
    </cfRule>
  </conditionalFormatting>
  <conditionalFormatting sqref="I86:O86 I88:O88 I102:O102 I104:O104 I110:O110 I114:O114">
    <cfRule type="containsBlanks" dxfId="380" priority="139">
      <formula>LEN(TRIM(I86))=0</formula>
    </cfRule>
  </conditionalFormatting>
  <conditionalFormatting sqref="I21:P21">
    <cfRule type="expression" dxfId="379" priority="21">
      <formula>AND(OR($F18="Lower the better", $F18="Lower the Better"), I21&lt;=I18)</formula>
    </cfRule>
    <cfRule type="expression" dxfId="378" priority="24">
      <formula>AND(OR($F18="Lower the better", $F18="Lower the Better"), I21&gt;I18)</formula>
    </cfRule>
    <cfRule type="expression" dxfId="377" priority="23" stopIfTrue="1">
      <formula>AND(OR($F18="Higher the better", $F18="Higher the Better"), I21&gt;=I18)</formula>
    </cfRule>
    <cfRule type="expression" dxfId="376" priority="22">
      <formula>AND(OR($F18="Higher the better", $F18="Higher the Better"), I21&lt;I18)</formula>
    </cfRule>
    <cfRule type="containsBlanks" dxfId="375" priority="20">
      <formula>LEN(TRIM(I21))=0</formula>
    </cfRule>
  </conditionalFormatting>
  <conditionalFormatting sqref="I7:T7 I11:T11">
    <cfRule type="expression" dxfId="374" priority="125">
      <formula>AND(OR($F6="Lower the better", $F6="Lower the Better"), I7&lt;=I6)</formula>
    </cfRule>
    <cfRule type="expression" dxfId="373" priority="124">
      <formula>AND(OR($F6="Lower the better", $F6="Lower the Better"), I7&gt;I6)</formula>
    </cfRule>
    <cfRule type="containsBlanks" dxfId="372" priority="123">
      <formula>LEN(TRIM(I7))=0</formula>
    </cfRule>
    <cfRule type="expression" dxfId="371" priority="127" stopIfTrue="1">
      <formula>AND(OR($F6="Higher the better", $F6="Higher the Better"), I7&gt;=I6)</formula>
    </cfRule>
    <cfRule type="expression" dxfId="370" priority="126">
      <formula>AND(OR($F6="Higher the better", $F6="Higher the Better"), I7&lt;I6)</formula>
    </cfRule>
  </conditionalFormatting>
  <conditionalFormatting sqref="I9:T9">
    <cfRule type="containsBlanks" dxfId="369" priority="112">
      <formula>LEN(TRIM(I9))=0</formula>
    </cfRule>
    <cfRule type="expression" dxfId="368" priority="116" stopIfTrue="1">
      <formula>AND(OR($F8="Higher the better", $F8="Higher the Better"), I9&gt;=I8)</formula>
    </cfRule>
    <cfRule type="expression" dxfId="367" priority="115">
      <formula>AND(OR($F8="Higher the better", $F8="Higher the Better"), I9&lt;I8)</formula>
    </cfRule>
    <cfRule type="expression" dxfId="366" priority="114">
      <formula>AND(OR($F8="Lower the better", $F8="Lower the Better"), I9&lt;=I8)</formula>
    </cfRule>
    <cfRule type="expression" dxfId="365" priority="113">
      <formula>AND(OR($F8="Lower the better", $F8="Lower the Better"), I9&gt;I8)</formula>
    </cfRule>
  </conditionalFormatting>
  <conditionalFormatting sqref="I15:T15 I19:T19 Q20:T20 P23:T24">
    <cfRule type="expression" dxfId="364" priority="141">
      <formula>AND(OR($F14="Lower the better", $F14="Lower the Better"), I15&gt;I14)</formula>
    </cfRule>
    <cfRule type="expression" dxfId="363" priority="142">
      <formula>AND(OR($F14="Lower the better", $F14="Lower the Better"), I15&lt;=I14)</formula>
    </cfRule>
    <cfRule type="expression" dxfId="362" priority="143">
      <formula>AND(OR($F14="Higher the better", $F14="Higher the Better"), I15&lt;I14)</formula>
    </cfRule>
    <cfRule type="expression" dxfId="361" priority="144" stopIfTrue="1">
      <formula>AND(OR($F14="Higher the better", $F14="Higher the Better"), I15&gt;=I14)</formula>
    </cfRule>
  </conditionalFormatting>
  <conditionalFormatting sqref="I17:T17 I27:T27">
    <cfRule type="expression" dxfId="360" priority="135">
      <formula>AND(OR($F16="Lower the better", $F16="Lower the Better"), I17&gt;I16)</formula>
    </cfRule>
    <cfRule type="expression" dxfId="359" priority="136">
      <formula>AND(OR($F16="Lower the better", $F16="Lower the Better"), I17&lt;=I16)</formula>
    </cfRule>
    <cfRule type="expression" dxfId="358" priority="137">
      <formula>AND(OR($F16="Higher the better", $F16="Higher the Better"), I17&lt;I16)</formula>
    </cfRule>
    <cfRule type="expression" dxfId="357" priority="138" stopIfTrue="1">
      <formula>AND(OR($F16="Higher the better", $F16="Higher the Better"), I17&gt;=I16)</formula>
    </cfRule>
  </conditionalFormatting>
  <conditionalFormatting sqref="I27:T27 I15:T15 I17:T17 I19:T19 Q20:T22 P23:T25">
    <cfRule type="containsBlanks" dxfId="356" priority="134">
      <formula>LEN(TRIM(I15))=0</formula>
    </cfRule>
  </conditionalFormatting>
  <conditionalFormatting sqref="M86:M89 M94:M115">
    <cfRule type="containsText" dxfId="355" priority="130" operator="containsText" text="Yes">
      <formula>NOT(ISERROR(SEARCH("Yes",M86)))</formula>
    </cfRule>
  </conditionalFormatting>
  <conditionalFormatting sqref="M94:M115 M86:M89">
    <cfRule type="containsText" dxfId="354" priority="129" operator="containsText" text="No">
      <formula>NOT(ISERROR(SEARCH("No",M86)))</formula>
    </cfRule>
  </conditionalFormatting>
  <conditionalFormatting sqref="P25:T25">
    <cfRule type="expression" dxfId="353" priority="446">
      <formula>AND(OR($F19="Lower the better", $F19="Lower the Better"), P25&lt;=P19)</formula>
    </cfRule>
    <cfRule type="expression" dxfId="352" priority="447">
      <formula>AND(OR($F19="Higher the better", $F19="Higher the Better"), P25&lt;P19)</formula>
    </cfRule>
    <cfRule type="expression" dxfId="351" priority="448" stopIfTrue="1">
      <formula>AND(OR($F19="Higher the better", $F19="Higher the Better"), P25&gt;=P19)</formula>
    </cfRule>
    <cfRule type="expression" dxfId="350" priority="445">
      <formula>AND(OR($F19="Lower the better", $F19="Lower the Better"), P25&gt;P19)</formula>
    </cfRule>
  </conditionalFormatting>
  <conditionalFormatting sqref="Q21:T21">
    <cfRule type="expression" dxfId="349" priority="472">
      <formula>AND(OR($F19="Lower the better", $F19="Lower the Better"), Q21&lt;=Q19)</formula>
    </cfRule>
    <cfRule type="expression" dxfId="348" priority="473">
      <formula>AND(OR($F19="Higher the better", $F19="Higher the Better"), Q21&lt;Q19)</formula>
    </cfRule>
    <cfRule type="expression" dxfId="347" priority="474" stopIfTrue="1">
      <formula>AND(OR($F19="Higher the better", $F19="Higher the Better"), Q21&gt;=Q19)</formula>
    </cfRule>
    <cfRule type="expression" dxfId="346" priority="471">
      <formula>AND(OR($F19="Lower the better", $F19="Lower the Better"), Q21&gt;Q19)</formula>
    </cfRule>
  </conditionalFormatting>
  <conditionalFormatting sqref="Q22:T22">
    <cfRule type="expression" dxfId="345" priority="458">
      <formula>AND(OR($F19="Lower the better", $F19="Lower the Better"), Q22&gt;Q19)</formula>
    </cfRule>
    <cfRule type="expression" dxfId="344" priority="459">
      <formula>AND(OR($F19="Lower the better", $F19="Lower the Better"), Q22&lt;=Q19)</formula>
    </cfRule>
    <cfRule type="expression" dxfId="343" priority="460">
      <formula>AND(OR($F19="Higher the better", $F19="Higher the Better"), Q22&lt;Q19)</formula>
    </cfRule>
    <cfRule type="expression" dxfId="342" priority="461" stopIfTrue="1">
      <formula>AND(OR($F19="Higher the better", $F19="Higher the Better"), Q22&gt;=Q19)</formula>
    </cfRule>
  </conditionalFormatting>
  <dataValidations count="7">
    <dataValidation type="list" allowBlank="1" showInputMessage="1" showErrorMessage="1" sqref="F86:G86 F102:G102 F114:G114 F106 F88:G88 F104:G104 F94:G94 F100 F112 F110 F108 F90 F92 F96 F98" xr:uid="{929717BE-CE29-4AD7-8E19-77CC97D15A96}">
      <formula1>"1,2,3,4,5"</formula1>
    </dataValidation>
    <dataValidation type="list" allowBlank="1" showInputMessage="1" showErrorMessage="1" sqref="F6:F11 F14:F27" xr:uid="{6F313CE6-C8D2-4335-9ED8-C91BBE317F49}">
      <formula1>"Higher the better, Lower the better"</formula1>
    </dataValidation>
    <dataValidation type="list" allowBlank="1" showInputMessage="1" showErrorMessage="1" sqref="G6:G11 G14:G27" xr:uid="{6659B48C-D627-4087-B9F2-05D83A67B259}">
      <formula1>"Monthly, Quarterly, Half yearly"</formula1>
    </dataValidation>
    <dataValidation type="list" allowBlank="1" showInputMessage="1" showErrorMessage="1" sqref="C6:C11 C14:C27" xr:uid="{F18D6A29-11DE-461B-8EA5-D4F16EB06A2C}">
      <formula1>"&gt;, &lt;, &gt;=, &lt;=, ="</formula1>
    </dataValidation>
    <dataValidation type="list" allowBlank="1" showInputMessage="1" showErrorMessage="1" sqref="M86 M102 M88 M104 M94 M114 M110" xr:uid="{701D1073-B434-48DF-9F6A-DC39DA61C25E}">
      <formula1>"Yes, No"</formula1>
    </dataValidation>
    <dataValidation type="list" allowBlank="1" showInputMessage="1" showErrorMessage="1" sqref="B1:B2" xr:uid="{EBDD8DC4-F380-465B-A00E-DF6D73DDB9EF}">
      <formula1>"Jan-2026, Feb-2026, Mar-2026, Apr-2026, May-2026, Jun-2026, Jul-2026, Aug-2026, Sep-2026, Oct-2026, Nov-2026, Dec-2026"</formula1>
    </dataValidation>
    <dataValidation type="list" allowBlank="1" showInputMessage="1" showErrorMessage="1" sqref="E6:E11 E14:E16 E18:E27" xr:uid="{739EC48A-CC5E-4F1C-A6EB-7CB9FC556A27}">
      <formula1>"%, Mn, No., "</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E510E-81E7-45A2-ACB9-7D2B0BA73479}">
  <sheetPr codeName="Sheet12"/>
  <dimension ref="A1:AI130"/>
  <sheetViews>
    <sheetView zoomScale="104" zoomScaleNormal="80" workbookViewId="0">
      <pane xSplit="2" ySplit="5" topLeftCell="J6" activePane="bottomRight" state="frozen"/>
      <selection pane="bottomRight" activeCell="B16" sqref="B16:B17"/>
      <selection pane="bottomLeft" activeCell="A6" sqref="A6"/>
      <selection pane="topRight" activeCell="C1" sqref="C1"/>
    </sheetView>
  </sheetViews>
  <sheetFormatPr defaultColWidth="8.42578125" defaultRowHeight="14.45"/>
  <cols>
    <col min="1" max="1" width="23.42578125" style="53" customWidth="1"/>
    <col min="2" max="2" width="32" style="52" customWidth="1"/>
    <col min="3" max="3" width="48.140625" style="53" customWidth="1"/>
    <col min="4" max="4" width="25.140625" style="53" customWidth="1"/>
    <col min="5" max="5" width="26" style="53" customWidth="1"/>
    <col min="6" max="6" width="13.42578125" style="53" bestFit="1" customWidth="1"/>
    <col min="7" max="7" width="10.5703125" style="53" bestFit="1" customWidth="1"/>
    <col min="8" max="8" width="14.42578125" style="53" customWidth="1"/>
    <col min="9" max="9" width="16" style="53" bestFit="1" customWidth="1"/>
    <col min="10" max="10" width="14.5703125" style="53" bestFit="1" customWidth="1"/>
    <col min="11" max="12" width="18.42578125" style="53" bestFit="1" customWidth="1"/>
    <col min="13" max="13" width="15.5703125" style="53" bestFit="1" customWidth="1"/>
    <col min="14" max="14" width="14.42578125" style="53" bestFit="1" customWidth="1"/>
    <col min="15" max="15" width="11" style="53" bestFit="1" customWidth="1"/>
    <col min="16" max="16" width="17.42578125" style="53" customWidth="1"/>
    <col min="17" max="20" width="14.42578125" style="53" customWidth="1"/>
    <col min="21" max="21" width="13.42578125" style="53" customWidth="1"/>
    <col min="22" max="22" width="17.42578125" style="53" customWidth="1"/>
    <col min="23" max="24" width="8.42578125" style="53" hidden="1" customWidth="1"/>
    <col min="25" max="25" width="14.42578125" style="53" hidden="1" customWidth="1"/>
    <col min="26" max="35" width="8.42578125" style="53" hidden="1" customWidth="1"/>
    <col min="36" max="36" width="8.42578125" style="53" customWidth="1"/>
    <col min="37" max="37" width="12.42578125" style="53" bestFit="1" customWidth="1"/>
    <col min="38" max="38" width="12.5703125" style="53" bestFit="1" customWidth="1"/>
    <col min="39" max="39" width="12.42578125" style="53" bestFit="1" customWidth="1"/>
    <col min="40" max="40" width="12.140625" style="53" bestFit="1" customWidth="1"/>
    <col min="41" max="41" width="12.85546875" style="53" bestFit="1" customWidth="1"/>
    <col min="42" max="42" width="12.42578125" style="53" bestFit="1" customWidth="1"/>
    <col min="43" max="43" width="11.5703125" style="53" bestFit="1" customWidth="1"/>
    <col min="44" max="45" width="12.85546875" style="53" bestFit="1" customWidth="1"/>
    <col min="46" max="46" width="12.42578125" style="53" bestFit="1" customWidth="1"/>
    <col min="47" max="47" width="12.5703125" style="53" bestFit="1" customWidth="1"/>
    <col min="48" max="48" width="12.85546875" style="53" bestFit="1" customWidth="1"/>
    <col min="49" max="49" width="8.42578125" style="53" customWidth="1"/>
    <col min="50" max="16384" width="8.42578125" style="53"/>
  </cols>
  <sheetData>
    <row r="1" spans="1:35">
      <c r="A1" s="93" t="s">
        <v>0</v>
      </c>
      <c r="B1" s="94">
        <v>46023</v>
      </c>
      <c r="C1" s="93" t="s">
        <v>88</v>
      </c>
      <c r="D1" s="95" t="s">
        <v>39</v>
      </c>
      <c r="E1" s="93" t="s">
        <v>89</v>
      </c>
      <c r="F1" s="95" t="s">
        <v>482</v>
      </c>
      <c r="W1" s="53" t="s">
        <v>90</v>
      </c>
      <c r="X1" s="53">
        <f>IF(I15&lt;&gt;"",IF($F14="Higher the better",IF(I15&gt;=I14,I15,NA()),IF(I15&lt;=I14,I15,NA())),NA())</f>
        <v>90</v>
      </c>
      <c r="Y1" s="53">
        <f t="shared" ref="Y1:AI1" si="0">IF(J15&lt;&gt;"",IF($F14="Higher the better",IF(J15&gt;=J14,J15,NA()),IF(J15&lt;=J14,J15,NA())),NA())</f>
        <v>90</v>
      </c>
      <c r="Z1" s="53">
        <f t="shared" si="0"/>
        <v>80</v>
      </c>
      <c r="AA1" s="53">
        <f t="shared" si="0"/>
        <v>100</v>
      </c>
      <c r="AB1" s="53">
        <f t="shared" si="0"/>
        <v>90</v>
      </c>
      <c r="AC1" s="53">
        <f t="shared" si="0"/>
        <v>83</v>
      </c>
      <c r="AD1" s="53" t="e">
        <f t="shared" si="0"/>
        <v>#N/A</v>
      </c>
      <c r="AE1" s="53" t="e">
        <f t="shared" si="0"/>
        <v>#N/A</v>
      </c>
      <c r="AF1" s="53" t="e">
        <f t="shared" si="0"/>
        <v>#N/A</v>
      </c>
      <c r="AG1" s="53" t="e">
        <f t="shared" si="0"/>
        <v>#N/A</v>
      </c>
      <c r="AH1" s="53" t="e">
        <f t="shared" si="0"/>
        <v>#N/A</v>
      </c>
      <c r="AI1" s="53" t="e">
        <f t="shared" si="0"/>
        <v>#N/A</v>
      </c>
    </row>
    <row r="2" spans="1:35" ht="19.5" hidden="1" customHeight="1">
      <c r="A2" s="96"/>
      <c r="B2" s="97"/>
      <c r="D2" s="96"/>
      <c r="E2" s="96"/>
      <c r="W2" s="53" t="s">
        <v>91</v>
      </c>
      <c r="X2" s="53" t="e">
        <f>IF(I15&lt;&gt;"",IF($F14="Higher the better",IF(I15&lt;I14,I15,NA()),IF(I15&gt;I14,I15,NA())),NA())</f>
        <v>#N/A</v>
      </c>
      <c r="Y2" s="53" t="e">
        <f t="shared" ref="Y2:AI2" si="1">IF(J15&lt;&gt;"",IF($F14="Higher the better",IF(J15&lt;J14,J15,NA()),IF(J15&gt;J14,J15,NA())),NA())</f>
        <v>#N/A</v>
      </c>
      <c r="Z2" s="53" t="e">
        <f t="shared" si="1"/>
        <v>#N/A</v>
      </c>
      <c r="AA2" s="53" t="e">
        <f t="shared" si="1"/>
        <v>#N/A</v>
      </c>
      <c r="AB2" s="53" t="e">
        <f t="shared" si="1"/>
        <v>#N/A</v>
      </c>
      <c r="AC2" s="53" t="e">
        <f t="shared" si="1"/>
        <v>#N/A</v>
      </c>
      <c r="AD2" s="53">
        <f t="shared" si="1"/>
        <v>77</v>
      </c>
      <c r="AE2" s="53" t="e">
        <f t="shared" si="1"/>
        <v>#N/A</v>
      </c>
      <c r="AF2" s="53" t="e">
        <f t="shared" si="1"/>
        <v>#N/A</v>
      </c>
      <c r="AG2" s="53" t="e">
        <f t="shared" si="1"/>
        <v>#N/A</v>
      </c>
      <c r="AH2" s="53" t="e">
        <f t="shared" si="1"/>
        <v>#N/A</v>
      </c>
      <c r="AI2" s="53" t="e">
        <f t="shared" si="1"/>
        <v>#N/A</v>
      </c>
    </row>
    <row r="3" spans="1:35" ht="21">
      <c r="A3" s="534" t="s">
        <v>483</v>
      </c>
      <c r="B3" s="534"/>
      <c r="W3" s="53" t="s">
        <v>90</v>
      </c>
      <c r="X3" s="53" t="e">
        <f t="shared" ref="X3:AI3" si="2">IF(I17&lt;&gt;"",IF($F16="Higher the better",IF(I17&gt;=I16,I17,NA()),IF(I17&lt;=I16,I17,NA())),NA())</f>
        <v>#N/A</v>
      </c>
      <c r="Y3" s="53">
        <f t="shared" si="2"/>
        <v>86</v>
      </c>
      <c r="Z3" s="53">
        <f t="shared" si="2"/>
        <v>84</v>
      </c>
      <c r="AA3" s="53">
        <f t="shared" si="2"/>
        <v>92</v>
      </c>
      <c r="AB3" s="53">
        <f t="shared" si="2"/>
        <v>87</v>
      </c>
      <c r="AC3" s="53">
        <f t="shared" si="2"/>
        <v>88</v>
      </c>
      <c r="AD3" s="53">
        <f t="shared" si="2"/>
        <v>84</v>
      </c>
      <c r="AE3" s="53" t="e">
        <f t="shared" si="2"/>
        <v>#N/A</v>
      </c>
      <c r="AF3" s="53" t="e">
        <f t="shared" si="2"/>
        <v>#N/A</v>
      </c>
      <c r="AG3" s="53" t="e">
        <f t="shared" si="2"/>
        <v>#N/A</v>
      </c>
      <c r="AH3" s="53" t="e">
        <f t="shared" si="2"/>
        <v>#N/A</v>
      </c>
      <c r="AI3" s="53" t="e">
        <f t="shared" si="2"/>
        <v>#N/A</v>
      </c>
    </row>
    <row r="4" spans="1:35" ht="18.75" customHeight="1">
      <c r="A4" s="98" t="s">
        <v>93</v>
      </c>
      <c r="B4" s="98"/>
      <c r="W4" s="53" t="s">
        <v>91</v>
      </c>
      <c r="X4" s="53">
        <f t="shared" ref="X4:AI4" si="3">IF(I17&lt;&gt;"",IF($F16="Higher the better",IF(I17&lt;I16,I17,NA()),IF(I17&gt;I16,I17,NA())),NA())</f>
        <v>0</v>
      </c>
      <c r="Y4" s="53" t="e">
        <f t="shared" si="3"/>
        <v>#N/A</v>
      </c>
      <c r="Z4" s="53" t="e">
        <f t="shared" si="3"/>
        <v>#N/A</v>
      </c>
      <c r="AA4" s="53" t="e">
        <f t="shared" si="3"/>
        <v>#N/A</v>
      </c>
      <c r="AB4" s="53" t="e">
        <f t="shared" si="3"/>
        <v>#N/A</v>
      </c>
      <c r="AC4" s="53" t="e">
        <f t="shared" si="3"/>
        <v>#N/A</v>
      </c>
      <c r="AD4" s="53" t="e">
        <f t="shared" si="3"/>
        <v>#N/A</v>
      </c>
      <c r="AE4" s="53" t="e">
        <f t="shared" si="3"/>
        <v>#N/A</v>
      </c>
      <c r="AF4" s="53" t="e">
        <f t="shared" si="3"/>
        <v>#N/A</v>
      </c>
      <c r="AG4" s="53" t="e">
        <f t="shared" si="3"/>
        <v>#N/A</v>
      </c>
      <c r="AH4" s="53" t="e">
        <f t="shared" si="3"/>
        <v>#N/A</v>
      </c>
      <c r="AI4" s="53" t="e">
        <f t="shared" si="3"/>
        <v>#N/A</v>
      </c>
    </row>
    <row r="5" spans="1:35" ht="29.25"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s="53" t="s">
        <v>90</v>
      </c>
      <c r="X5" s="53">
        <f t="shared" ref="X5:AI5" si="4">IF(I19&lt;&gt;"",IF($F18="Higher the better",IF(I19&gt;=I18,I19,NA()),IF(I19&lt;=I18,I19,NA())),NA())</f>
        <v>100</v>
      </c>
      <c r="Y5" s="53">
        <f t="shared" si="4"/>
        <v>100</v>
      </c>
      <c r="Z5" s="53" t="e">
        <f t="shared" si="4"/>
        <v>#N/A</v>
      </c>
      <c r="AA5" s="53">
        <f t="shared" si="4"/>
        <v>100</v>
      </c>
      <c r="AB5" s="53">
        <f t="shared" si="4"/>
        <v>100</v>
      </c>
      <c r="AC5" s="53">
        <f t="shared" si="4"/>
        <v>89</v>
      </c>
      <c r="AD5" s="53">
        <f t="shared" si="4"/>
        <v>89</v>
      </c>
      <c r="AE5" s="53" t="e">
        <f t="shared" si="4"/>
        <v>#N/A</v>
      </c>
      <c r="AF5" s="53" t="e">
        <f t="shared" si="4"/>
        <v>#N/A</v>
      </c>
      <c r="AG5" s="53" t="e">
        <f t="shared" si="4"/>
        <v>#N/A</v>
      </c>
      <c r="AH5" s="53" t="e">
        <f t="shared" si="4"/>
        <v>#N/A</v>
      </c>
      <c r="AI5" s="53" t="e">
        <f t="shared" si="4"/>
        <v>#N/A</v>
      </c>
    </row>
    <row r="6" spans="1:35" ht="18" customHeight="1">
      <c r="A6" s="348" t="s">
        <v>484</v>
      </c>
      <c r="B6" s="354" t="s">
        <v>485</v>
      </c>
      <c r="C6" s="328" t="s">
        <v>97</v>
      </c>
      <c r="D6" s="535">
        <v>0.4</v>
      </c>
      <c r="E6" s="328" t="s">
        <v>98</v>
      </c>
      <c r="F6" s="336" t="s">
        <v>99</v>
      </c>
      <c r="G6" s="328" t="s">
        <v>55</v>
      </c>
      <c r="H6" s="14" t="s">
        <v>29</v>
      </c>
      <c r="I6" s="4">
        <v>0.4</v>
      </c>
      <c r="J6" s="4">
        <v>0.4</v>
      </c>
      <c r="K6" s="4">
        <v>0.4</v>
      </c>
      <c r="L6" s="4">
        <v>0.4</v>
      </c>
      <c r="M6" s="4">
        <v>0.4</v>
      </c>
      <c r="N6" s="4">
        <v>0.4</v>
      </c>
      <c r="O6" s="4">
        <v>0.4</v>
      </c>
      <c r="P6" s="4">
        <v>0.4</v>
      </c>
      <c r="Q6" s="4">
        <v>0.4</v>
      </c>
      <c r="R6" s="4">
        <v>0.4</v>
      </c>
      <c r="S6" s="4">
        <v>0.4</v>
      </c>
      <c r="T6" s="4">
        <v>0.4</v>
      </c>
      <c r="W6" s="53" t="s">
        <v>91</v>
      </c>
      <c r="X6" s="53" t="e">
        <f t="shared" ref="X6:AI6" si="5">IF(I19&lt;&gt;"",IF($F18="Higher the better",IF(I19&lt;I18,I19,NA()),IF(I19&gt;I18,I19,NA())),NA())</f>
        <v>#N/A</v>
      </c>
      <c r="Y6" s="53" t="e">
        <f t="shared" si="5"/>
        <v>#N/A</v>
      </c>
      <c r="Z6" s="53">
        <f t="shared" si="5"/>
        <v>60</v>
      </c>
      <c r="AA6" s="53" t="e">
        <f t="shared" si="5"/>
        <v>#N/A</v>
      </c>
      <c r="AB6" s="53" t="e">
        <f t="shared" si="5"/>
        <v>#N/A</v>
      </c>
      <c r="AC6" s="53" t="e">
        <f t="shared" si="5"/>
        <v>#N/A</v>
      </c>
      <c r="AD6" s="53" t="e">
        <f t="shared" si="5"/>
        <v>#N/A</v>
      </c>
      <c r="AE6" s="53" t="e">
        <f t="shared" si="5"/>
        <v>#N/A</v>
      </c>
      <c r="AF6" s="53" t="e">
        <f t="shared" si="5"/>
        <v>#N/A</v>
      </c>
      <c r="AG6" s="53" t="e">
        <f t="shared" si="5"/>
        <v>#N/A</v>
      </c>
      <c r="AH6" s="53" t="e">
        <f t="shared" si="5"/>
        <v>#N/A</v>
      </c>
      <c r="AI6" s="53" t="e">
        <f t="shared" si="5"/>
        <v>#N/A</v>
      </c>
    </row>
    <row r="7" spans="1:35">
      <c r="A7" s="348"/>
      <c r="B7" s="354"/>
      <c r="C7" s="328"/>
      <c r="D7" s="535"/>
      <c r="E7" s="328"/>
      <c r="F7" s="336"/>
      <c r="G7" s="328"/>
      <c r="H7" s="14" t="s">
        <v>30</v>
      </c>
      <c r="I7" s="5">
        <v>0.28000000000000003</v>
      </c>
      <c r="J7" s="5">
        <v>0.39</v>
      </c>
      <c r="K7" s="5">
        <v>0.42</v>
      </c>
      <c r="L7" s="5">
        <v>0.37109999999999999</v>
      </c>
      <c r="M7" s="5">
        <v>0.34599999999999997</v>
      </c>
      <c r="N7" s="5">
        <v>0.373</v>
      </c>
      <c r="O7" s="5">
        <v>0.35599999999999998</v>
      </c>
      <c r="P7" s="5"/>
      <c r="Q7" s="5"/>
      <c r="R7" s="5"/>
      <c r="S7" s="5"/>
      <c r="T7" s="5"/>
    </row>
    <row r="8" spans="1:35">
      <c r="A8" s="354" t="s">
        <v>486</v>
      </c>
      <c r="B8" s="354" t="s">
        <v>487</v>
      </c>
      <c r="C8" s="328" t="s">
        <v>97</v>
      </c>
      <c r="D8" s="535">
        <v>0.88</v>
      </c>
      <c r="E8" s="328" t="s">
        <v>98</v>
      </c>
      <c r="F8" s="336" t="s">
        <v>99</v>
      </c>
      <c r="G8" s="328" t="s">
        <v>55</v>
      </c>
      <c r="H8" s="14" t="s">
        <v>29</v>
      </c>
      <c r="I8" s="4">
        <v>0</v>
      </c>
      <c r="J8" s="4">
        <v>0</v>
      </c>
      <c r="K8" s="216">
        <v>0.11160714285714286</v>
      </c>
      <c r="L8" s="4">
        <v>0.17261904761904762</v>
      </c>
      <c r="M8" s="4">
        <v>0.23660714285714285</v>
      </c>
      <c r="N8" s="4">
        <v>0.31547619047619047</v>
      </c>
      <c r="O8" s="324">
        <v>0.20498301245753114</v>
      </c>
      <c r="P8" s="4">
        <v>0.26047565118912797</v>
      </c>
      <c r="Q8" s="4">
        <v>0.34088335220838051</v>
      </c>
      <c r="R8" s="4">
        <v>0.42355605889014725</v>
      </c>
      <c r="S8" s="4">
        <v>0.51528878822197055</v>
      </c>
      <c r="T8" s="4">
        <v>0.57870894677236695</v>
      </c>
    </row>
    <row r="9" spans="1:35">
      <c r="A9" s="354"/>
      <c r="B9" s="354"/>
      <c r="C9" s="328"/>
      <c r="D9" s="535"/>
      <c r="E9" s="328"/>
      <c r="F9" s="336"/>
      <c r="G9" s="328"/>
      <c r="H9" s="14" t="s">
        <v>30</v>
      </c>
      <c r="I9" s="45"/>
      <c r="J9" s="45"/>
      <c r="K9" s="125">
        <v>0.112</v>
      </c>
      <c r="L9" s="5">
        <v>0.16</v>
      </c>
      <c r="M9" s="5">
        <v>0.21</v>
      </c>
      <c r="N9" s="5">
        <v>0.23</v>
      </c>
      <c r="O9" s="5">
        <v>0.19</v>
      </c>
      <c r="P9" s="45"/>
      <c r="Q9" s="45"/>
      <c r="R9" s="45"/>
      <c r="S9" s="45"/>
      <c r="T9" s="45"/>
    </row>
    <row r="10" spans="1:35">
      <c r="A10" s="435" t="s">
        <v>488</v>
      </c>
      <c r="B10" s="343" t="s">
        <v>489</v>
      </c>
      <c r="C10" s="328" t="s">
        <v>97</v>
      </c>
      <c r="D10" s="536">
        <v>0.8</v>
      </c>
      <c r="E10" s="328" t="s">
        <v>98</v>
      </c>
      <c r="F10" s="336" t="s">
        <v>99</v>
      </c>
      <c r="G10" s="328" t="s">
        <v>55</v>
      </c>
      <c r="H10" s="14" t="s">
        <v>29</v>
      </c>
      <c r="I10" s="51"/>
      <c r="J10" s="51"/>
      <c r="K10" s="4">
        <v>0.8</v>
      </c>
      <c r="L10" s="4">
        <v>0.8</v>
      </c>
      <c r="M10" s="4">
        <v>0.8</v>
      </c>
      <c r="N10" s="4">
        <v>0.8</v>
      </c>
      <c r="O10" s="4">
        <v>0.8</v>
      </c>
      <c r="P10" s="4">
        <v>0.8</v>
      </c>
      <c r="Q10" s="4">
        <v>0.8</v>
      </c>
      <c r="R10" s="4">
        <v>0.8</v>
      </c>
      <c r="S10" s="4">
        <v>0.8</v>
      </c>
      <c r="T10" s="4">
        <v>0.8</v>
      </c>
    </row>
    <row r="11" spans="1:35">
      <c r="A11" s="435"/>
      <c r="B11" s="343"/>
      <c r="C11" s="328"/>
      <c r="D11" s="536"/>
      <c r="E11" s="328"/>
      <c r="F11" s="336"/>
      <c r="G11" s="328"/>
      <c r="H11" s="14" t="s">
        <v>30</v>
      </c>
      <c r="I11" s="67"/>
      <c r="J11" s="67"/>
      <c r="K11" s="5">
        <v>0.82</v>
      </c>
      <c r="L11" s="256">
        <v>0.83499999999999996</v>
      </c>
      <c r="M11" s="5">
        <v>0.83</v>
      </c>
      <c r="N11" s="5">
        <v>0.81</v>
      </c>
      <c r="O11" s="5">
        <v>0.81</v>
      </c>
      <c r="P11" s="45"/>
      <c r="Q11" s="45"/>
      <c r="R11" s="45"/>
      <c r="S11" s="45"/>
      <c r="T11" s="45"/>
    </row>
    <row r="12" spans="1:35" ht="18.600000000000001">
      <c r="A12" s="99" t="s">
        <v>112</v>
      </c>
      <c r="G12" s="100"/>
      <c r="I12" s="170"/>
      <c r="J12" s="101"/>
      <c r="K12" s="101"/>
      <c r="L12" s="101"/>
      <c r="M12" s="101"/>
      <c r="N12" s="101"/>
      <c r="O12" s="101"/>
      <c r="P12" s="101"/>
      <c r="Q12" s="101"/>
      <c r="R12" s="101"/>
      <c r="S12" s="101"/>
      <c r="T12" s="101"/>
    </row>
    <row r="13" spans="1:35" ht="27.75"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3.5" customHeight="1">
      <c r="A14" s="348" t="s">
        <v>490</v>
      </c>
      <c r="B14" s="343" t="s">
        <v>491</v>
      </c>
      <c r="C14" s="328" t="s">
        <v>97</v>
      </c>
      <c r="D14" s="336">
        <v>80</v>
      </c>
      <c r="E14" s="328" t="s">
        <v>98</v>
      </c>
      <c r="F14" s="336" t="s">
        <v>99</v>
      </c>
      <c r="G14" s="328" t="s">
        <v>55</v>
      </c>
      <c r="H14" s="14" t="s">
        <v>29</v>
      </c>
      <c r="I14" s="47">
        <v>80</v>
      </c>
      <c r="J14" s="47">
        <v>80</v>
      </c>
      <c r="K14" s="47">
        <v>80</v>
      </c>
      <c r="L14" s="47">
        <v>80</v>
      </c>
      <c r="M14" s="47">
        <v>80</v>
      </c>
      <c r="N14" s="47">
        <v>80</v>
      </c>
      <c r="O14" s="47">
        <v>80</v>
      </c>
      <c r="P14" s="47">
        <v>80</v>
      </c>
      <c r="Q14" s="47">
        <v>80</v>
      </c>
      <c r="R14" s="47">
        <v>80</v>
      </c>
      <c r="S14" s="47">
        <v>80</v>
      </c>
      <c r="T14" s="47">
        <v>80</v>
      </c>
    </row>
    <row r="15" spans="1:35">
      <c r="A15" s="348"/>
      <c r="B15" s="343"/>
      <c r="C15" s="328"/>
      <c r="D15" s="336"/>
      <c r="E15" s="328"/>
      <c r="F15" s="336"/>
      <c r="G15" s="328"/>
      <c r="H15" s="14" t="s">
        <v>30</v>
      </c>
      <c r="I15" s="179">
        <v>90</v>
      </c>
      <c r="J15" s="179">
        <v>90</v>
      </c>
      <c r="K15" s="179">
        <v>80</v>
      </c>
      <c r="L15" s="179">
        <v>100</v>
      </c>
      <c r="M15" s="179">
        <v>90</v>
      </c>
      <c r="N15" s="179">
        <v>83</v>
      </c>
      <c r="O15" s="179">
        <v>77</v>
      </c>
      <c r="P15" s="179"/>
      <c r="Q15" s="179"/>
      <c r="R15" s="179"/>
      <c r="S15" s="179"/>
      <c r="T15" s="179"/>
    </row>
    <row r="16" spans="1:35">
      <c r="A16" s="348" t="s">
        <v>492</v>
      </c>
      <c r="B16" s="538" t="s">
        <v>493</v>
      </c>
      <c r="C16" s="328" t="s">
        <v>97</v>
      </c>
      <c r="D16" s="485">
        <v>80</v>
      </c>
      <c r="E16" s="328" t="s">
        <v>98</v>
      </c>
      <c r="F16" s="336" t="s">
        <v>99</v>
      </c>
      <c r="G16" s="328" t="s">
        <v>55</v>
      </c>
      <c r="H16" s="14" t="s">
        <v>29</v>
      </c>
      <c r="I16" s="44">
        <v>80</v>
      </c>
      <c r="J16" s="44">
        <v>80</v>
      </c>
      <c r="K16" s="44">
        <v>80</v>
      </c>
      <c r="L16" s="44">
        <v>80</v>
      </c>
      <c r="M16" s="44">
        <v>80</v>
      </c>
      <c r="N16" s="44">
        <v>80</v>
      </c>
      <c r="O16" s="44">
        <v>80</v>
      </c>
      <c r="P16" s="44">
        <v>80</v>
      </c>
      <c r="Q16" s="44">
        <v>80</v>
      </c>
      <c r="R16" s="44">
        <v>80</v>
      </c>
      <c r="S16" s="44">
        <v>80</v>
      </c>
      <c r="T16" s="44">
        <v>80</v>
      </c>
    </row>
    <row r="17" spans="1:20">
      <c r="A17" s="348"/>
      <c r="B17" s="538"/>
      <c r="C17" s="328"/>
      <c r="D17" s="485"/>
      <c r="E17" s="328"/>
      <c r="F17" s="336"/>
      <c r="G17" s="328"/>
      <c r="H17" s="14" t="s">
        <v>30</v>
      </c>
      <c r="I17" s="45">
        <v>0</v>
      </c>
      <c r="J17" s="45">
        <v>86</v>
      </c>
      <c r="K17" s="45">
        <v>84</v>
      </c>
      <c r="L17" s="45">
        <v>92</v>
      </c>
      <c r="M17" s="45">
        <v>87</v>
      </c>
      <c r="N17" s="45">
        <v>88</v>
      </c>
      <c r="O17" s="45">
        <v>84</v>
      </c>
      <c r="P17" s="45"/>
      <c r="Q17" s="45"/>
      <c r="R17" s="45"/>
      <c r="S17" s="45"/>
      <c r="T17" s="45"/>
    </row>
    <row r="18" spans="1:20" ht="13.5" customHeight="1">
      <c r="A18" s="354" t="s">
        <v>494</v>
      </c>
      <c r="B18" s="537" t="s">
        <v>495</v>
      </c>
      <c r="C18" s="328" t="s">
        <v>97</v>
      </c>
      <c r="D18" s="328">
        <v>80</v>
      </c>
      <c r="E18" s="328" t="s">
        <v>98</v>
      </c>
      <c r="F18" s="336" t="s">
        <v>99</v>
      </c>
      <c r="G18" s="328" t="s">
        <v>55</v>
      </c>
      <c r="H18" s="14" t="s">
        <v>29</v>
      </c>
      <c r="I18" s="44">
        <v>80</v>
      </c>
      <c r="J18" s="44">
        <v>80</v>
      </c>
      <c r="K18" s="44">
        <v>80</v>
      </c>
      <c r="L18" s="44">
        <v>80</v>
      </c>
      <c r="M18" s="44">
        <v>80</v>
      </c>
      <c r="N18" s="44">
        <v>80</v>
      </c>
      <c r="O18" s="44">
        <v>80</v>
      </c>
      <c r="P18" s="44">
        <v>80</v>
      </c>
      <c r="Q18" s="44">
        <v>80</v>
      </c>
      <c r="R18" s="44">
        <v>80</v>
      </c>
      <c r="S18" s="44">
        <v>80</v>
      </c>
      <c r="T18" s="44">
        <v>80</v>
      </c>
    </row>
    <row r="19" spans="1:20" ht="24.75" customHeight="1">
      <c r="A19" s="354"/>
      <c r="B19" s="537"/>
      <c r="C19" s="328"/>
      <c r="D19" s="328"/>
      <c r="E19" s="328"/>
      <c r="F19" s="336"/>
      <c r="G19" s="328"/>
      <c r="H19" s="14" t="s">
        <v>30</v>
      </c>
      <c r="I19" s="45">
        <v>100</v>
      </c>
      <c r="J19" s="45">
        <v>100</v>
      </c>
      <c r="K19" s="45">
        <v>60</v>
      </c>
      <c r="L19" s="45">
        <v>100</v>
      </c>
      <c r="M19" s="45">
        <v>100</v>
      </c>
      <c r="N19" s="45">
        <v>89</v>
      </c>
      <c r="O19" s="45">
        <v>89</v>
      </c>
      <c r="P19" s="45"/>
      <c r="Q19" s="45"/>
      <c r="R19" s="45"/>
      <c r="S19" s="45"/>
      <c r="T19" s="45"/>
    </row>
    <row r="20" spans="1:20" hidden="1">
      <c r="A20" s="354"/>
      <c r="B20" s="496"/>
      <c r="C20" s="328"/>
      <c r="D20" s="328"/>
      <c r="E20" s="328"/>
      <c r="F20" s="336"/>
      <c r="G20" s="328"/>
      <c r="H20" s="14"/>
      <c r="I20" s="44"/>
      <c r="J20" s="44"/>
      <c r="K20" s="44"/>
      <c r="L20" s="44"/>
      <c r="M20" s="44"/>
      <c r="N20" s="44"/>
      <c r="O20" s="44"/>
      <c r="P20" s="44"/>
      <c r="Q20" s="44"/>
      <c r="R20" s="44"/>
      <c r="S20" s="44"/>
      <c r="T20" s="44"/>
    </row>
    <row r="21" spans="1:20" ht="22.5" hidden="1" customHeight="1">
      <c r="A21" s="354"/>
      <c r="B21" s="496"/>
      <c r="C21" s="328"/>
      <c r="D21" s="328"/>
      <c r="E21" s="328"/>
      <c r="F21" s="336"/>
      <c r="G21" s="328"/>
      <c r="H21" s="14"/>
      <c r="I21" s="45"/>
      <c r="J21" s="45"/>
      <c r="K21" s="45"/>
      <c r="L21" s="45"/>
      <c r="M21" s="45"/>
      <c r="N21" s="45"/>
      <c r="O21" s="45"/>
      <c r="P21" s="45"/>
      <c r="Q21" s="45"/>
      <c r="R21" s="45"/>
      <c r="S21" s="45"/>
      <c r="T21" s="45"/>
    </row>
    <row r="22" spans="1:20" hidden="1">
      <c r="A22" s="348"/>
      <c r="B22" s="496"/>
      <c r="C22" s="328"/>
      <c r="D22" s="336"/>
      <c r="E22" s="328"/>
      <c r="F22" s="336"/>
      <c r="G22" s="328"/>
      <c r="H22" s="14"/>
      <c r="I22" s="44"/>
      <c r="J22" s="44"/>
      <c r="K22" s="44"/>
      <c r="L22" s="44"/>
      <c r="M22" s="44"/>
      <c r="N22" s="44"/>
      <c r="O22" s="44"/>
      <c r="P22" s="44"/>
      <c r="Q22" s="44"/>
      <c r="R22" s="44"/>
      <c r="S22" s="44"/>
      <c r="T22" s="44"/>
    </row>
    <row r="23" spans="1:20" hidden="1">
      <c r="A23" s="348"/>
      <c r="B23" s="496"/>
      <c r="C23" s="328"/>
      <c r="D23" s="336"/>
      <c r="E23" s="328"/>
      <c r="F23" s="336"/>
      <c r="G23" s="328"/>
      <c r="H23" s="14"/>
      <c r="I23" s="45"/>
      <c r="J23" s="45"/>
      <c r="K23" s="45"/>
      <c r="L23" s="45"/>
      <c r="M23" s="45"/>
      <c r="N23" s="45"/>
      <c r="O23" s="45"/>
      <c r="P23" s="45"/>
      <c r="Q23" s="45"/>
      <c r="R23" s="45"/>
      <c r="S23" s="45"/>
      <c r="T23" s="45"/>
    </row>
    <row r="24" spans="1:20" ht="15" customHeight="1">
      <c r="E24" s="102" t="s">
        <v>86</v>
      </c>
      <c r="H24" s="103" t="str">
        <f>IF(OR($F15="Lower the better",$F15="Lower the Better"),
    IF(I15&gt;I14,$A14,""),
    IF(OR($F15="Higher the better",$F15="Higher the Better"),
       IF(I15&lt;I14,$A14,""),
       ""
    )
)</f>
        <v/>
      </c>
    </row>
    <row r="25" spans="1:20" ht="21">
      <c r="A25" s="104" t="s">
        <v>217</v>
      </c>
      <c r="B25" s="53"/>
    </row>
    <row r="26" spans="1:20">
      <c r="A26" s="52"/>
      <c r="B26" s="53"/>
      <c r="L26" s="231"/>
    </row>
    <row r="27" spans="1:20">
      <c r="A27" s="52"/>
      <c r="B27" s="53"/>
    </row>
    <row r="28" spans="1:20">
      <c r="A28" s="52"/>
      <c r="B28" s="53"/>
    </row>
    <row r="29" spans="1:20">
      <c r="A29" s="52"/>
      <c r="B29" s="53"/>
    </row>
    <row r="30" spans="1:20">
      <c r="A30" s="52"/>
      <c r="B30" s="53"/>
    </row>
    <row r="31" spans="1:20">
      <c r="A31" s="52"/>
      <c r="B31" s="53"/>
    </row>
    <row r="32" spans="1:20">
      <c r="A32" s="52"/>
      <c r="B32" s="53"/>
    </row>
    <row r="33" spans="1:8">
      <c r="A33" s="52"/>
      <c r="B33" s="53"/>
    </row>
    <row r="34" spans="1:8">
      <c r="A34" s="52"/>
      <c r="B34" s="53"/>
    </row>
    <row r="35" spans="1:8">
      <c r="A35" s="52"/>
      <c r="B35" s="53"/>
    </row>
    <row r="36" spans="1:8">
      <c r="A36" s="52"/>
      <c r="B36" s="53"/>
    </row>
    <row r="37" spans="1:8">
      <c r="A37" s="52"/>
      <c r="B37" s="53"/>
    </row>
    <row r="38" spans="1:8">
      <c r="A38" s="52"/>
      <c r="B38" s="53"/>
    </row>
    <row r="39" spans="1:8">
      <c r="A39" s="52"/>
      <c r="B39" s="53"/>
    </row>
    <row r="40" spans="1:8">
      <c r="A40" s="52"/>
      <c r="B40" s="53"/>
    </row>
    <row r="41" spans="1:8">
      <c r="A41" s="52"/>
      <c r="B41" s="53"/>
    </row>
    <row r="42" spans="1:8" ht="21">
      <c r="A42" s="539" t="s">
        <v>123</v>
      </c>
      <c r="B42" s="539"/>
      <c r="C42" s="539"/>
      <c r="D42" s="539"/>
      <c r="E42" s="539"/>
    </row>
    <row r="43" spans="1:8">
      <c r="C43" s="52"/>
      <c r="D43" s="52"/>
      <c r="E43" s="52"/>
      <c r="F43" s="52"/>
      <c r="G43" s="52"/>
      <c r="H43" s="52"/>
    </row>
    <row r="44" spans="1:8">
      <c r="A44" s="52"/>
      <c r="B44" s="53"/>
    </row>
    <row r="45" spans="1:8" ht="21">
      <c r="A45" s="534" t="s">
        <v>124</v>
      </c>
      <c r="B45" s="534"/>
    </row>
    <row r="46" spans="1:8" ht="20.25" customHeight="1">
      <c r="A46" s="226" t="s">
        <v>125</v>
      </c>
      <c r="B46" s="359" t="s">
        <v>126</v>
      </c>
      <c r="C46" s="359"/>
      <c r="D46" s="359"/>
      <c r="E46" s="359"/>
      <c r="F46" s="359"/>
    </row>
    <row r="47" spans="1:8" ht="15" customHeight="1">
      <c r="A47" s="25" t="s">
        <v>136</v>
      </c>
      <c r="B47" s="25" t="s">
        <v>127</v>
      </c>
      <c r="C47" s="25" t="s">
        <v>128</v>
      </c>
      <c r="D47" s="25" t="s">
        <v>129</v>
      </c>
      <c r="E47" s="25" t="s">
        <v>130</v>
      </c>
      <c r="F47" s="25" t="s">
        <v>131</v>
      </c>
    </row>
    <row r="48" spans="1:8" ht="30" customHeight="1">
      <c r="A48" s="228" t="s">
        <v>496</v>
      </c>
      <c r="B48" s="106" t="s">
        <v>497</v>
      </c>
      <c r="C48" s="106" t="s">
        <v>498</v>
      </c>
      <c r="D48" s="278"/>
      <c r="E48" s="230"/>
      <c r="F48" s="230"/>
    </row>
    <row r="49" spans="1:6" ht="31.5" customHeight="1">
      <c r="A49" s="229" t="s">
        <v>135</v>
      </c>
      <c r="B49" s="106">
        <v>0.46</v>
      </c>
      <c r="C49" s="106">
        <v>0.54</v>
      </c>
      <c r="D49" s="106"/>
      <c r="E49" s="106"/>
      <c r="F49" s="106"/>
    </row>
    <row r="50" spans="1:6" ht="31.5" customHeight="1">
      <c r="A50" s="25" t="s">
        <v>136</v>
      </c>
      <c r="B50" s="25" t="s">
        <v>127</v>
      </c>
      <c r="C50" s="25" t="s">
        <v>128</v>
      </c>
      <c r="D50" s="25" t="s">
        <v>129</v>
      </c>
      <c r="E50" s="25" t="s">
        <v>130</v>
      </c>
      <c r="F50" s="25" t="s">
        <v>131</v>
      </c>
    </row>
    <row r="51" spans="1:6" ht="78">
      <c r="A51" s="228" t="s">
        <v>499</v>
      </c>
      <c r="B51" s="325" t="s">
        <v>500</v>
      </c>
      <c r="C51" s="320" t="s">
        <v>501</v>
      </c>
      <c r="D51" s="320" t="s">
        <v>502</v>
      </c>
      <c r="E51" s="294" t="s">
        <v>503</v>
      </c>
      <c r="F51" s="230" t="s">
        <v>504</v>
      </c>
    </row>
    <row r="52" spans="1:6" ht="31.5" customHeight="1">
      <c r="A52" s="229" t="s">
        <v>135</v>
      </c>
      <c r="B52" s="106">
        <v>0.4</v>
      </c>
      <c r="C52" s="106">
        <v>0.22</v>
      </c>
      <c r="D52" s="106">
        <v>0.12</v>
      </c>
      <c r="E52" s="106">
        <v>0.12</v>
      </c>
      <c r="F52" s="106">
        <v>0.14000000000000001</v>
      </c>
    </row>
    <row r="53" spans="1:6" ht="31.5" customHeight="1">
      <c r="A53" s="25" t="s">
        <v>136</v>
      </c>
      <c r="B53" s="25" t="s">
        <v>127</v>
      </c>
      <c r="C53" s="25" t="s">
        <v>128</v>
      </c>
      <c r="D53" s="25" t="s">
        <v>129</v>
      </c>
      <c r="E53" s="25" t="s">
        <v>130</v>
      </c>
      <c r="F53" s="25" t="s">
        <v>131</v>
      </c>
    </row>
    <row r="54" spans="1:6" ht="51.95">
      <c r="A54" s="228" t="s">
        <v>505</v>
      </c>
      <c r="B54" s="294" t="s">
        <v>506</v>
      </c>
      <c r="C54" s="294" t="s">
        <v>507</v>
      </c>
      <c r="D54" s="325" t="s">
        <v>508</v>
      </c>
      <c r="E54" s="294" t="s">
        <v>509</v>
      </c>
      <c r="F54" s="230" t="s">
        <v>504</v>
      </c>
    </row>
    <row r="55" spans="1:6" ht="31.5" customHeight="1">
      <c r="A55" s="229" t="s">
        <v>135</v>
      </c>
      <c r="B55" s="106">
        <v>0.53</v>
      </c>
      <c r="C55" s="106">
        <v>0.22</v>
      </c>
      <c r="D55" s="106">
        <v>0.09</v>
      </c>
      <c r="E55" s="106">
        <v>7.0000000000000007E-2</v>
      </c>
      <c r="F55" s="106">
        <v>0.09</v>
      </c>
    </row>
    <row r="56" spans="1:6" ht="31.5" customHeight="1">
      <c r="A56" s="25" t="s">
        <v>136</v>
      </c>
      <c r="B56" s="25" t="s">
        <v>127</v>
      </c>
      <c r="C56" s="25" t="s">
        <v>128</v>
      </c>
      <c r="D56" s="25" t="s">
        <v>129</v>
      </c>
      <c r="E56" s="25" t="s">
        <v>130</v>
      </c>
      <c r="F56" s="25" t="s">
        <v>131</v>
      </c>
    </row>
    <row r="57" spans="1:6" ht="76.5" customHeight="1">
      <c r="A57" s="228" t="s">
        <v>510</v>
      </c>
      <c r="B57" s="294" t="s">
        <v>511</v>
      </c>
      <c r="C57" s="294" t="s">
        <v>512</v>
      </c>
      <c r="D57" s="294" t="s">
        <v>513</v>
      </c>
      <c r="E57" s="180"/>
      <c r="F57" s="230"/>
    </row>
    <row r="58" spans="1:6" ht="31.5" customHeight="1">
      <c r="A58" s="229" t="s">
        <v>135</v>
      </c>
      <c r="B58" s="106">
        <v>0.5</v>
      </c>
      <c r="C58" s="106">
        <v>0.33</v>
      </c>
      <c r="D58" s="106">
        <v>0.17</v>
      </c>
      <c r="E58" s="106"/>
      <c r="F58" s="106"/>
    </row>
    <row r="59" spans="1:6" ht="19.5" customHeight="1">
      <c r="A59" s="25" t="s">
        <v>136</v>
      </c>
      <c r="B59" s="25" t="s">
        <v>127</v>
      </c>
      <c r="C59" s="25" t="s">
        <v>128</v>
      </c>
      <c r="D59" s="25" t="s">
        <v>129</v>
      </c>
      <c r="E59" s="25" t="s">
        <v>130</v>
      </c>
      <c r="F59" s="25" t="s">
        <v>131</v>
      </c>
    </row>
    <row r="60" spans="1:6" ht="30.75" customHeight="1">
      <c r="A60" s="279"/>
      <c r="B60" s="230"/>
      <c r="C60" s="230"/>
      <c r="D60" s="230"/>
      <c r="E60" s="230"/>
      <c r="F60" s="230"/>
    </row>
    <row r="61" spans="1:6" ht="19.5" customHeight="1">
      <c r="A61" s="279"/>
      <c r="B61" s="106"/>
      <c r="C61" s="106"/>
      <c r="D61" s="106"/>
      <c r="E61" s="106"/>
      <c r="F61" s="106"/>
    </row>
    <row r="62" spans="1:6" ht="19.5" customHeight="1">
      <c r="A62" s="25" t="s">
        <v>136</v>
      </c>
      <c r="B62" s="25" t="s">
        <v>127</v>
      </c>
      <c r="C62" s="25" t="s">
        <v>128</v>
      </c>
      <c r="D62" s="25" t="s">
        <v>129</v>
      </c>
      <c r="E62" s="25" t="s">
        <v>130</v>
      </c>
      <c r="F62" s="25" t="s">
        <v>131</v>
      </c>
    </row>
    <row r="63" spans="1:6" ht="19.5" customHeight="1">
      <c r="A63" s="279"/>
      <c r="B63" s="230"/>
      <c r="C63" s="230"/>
      <c r="D63" s="230"/>
      <c r="E63" s="230"/>
      <c r="F63" s="230"/>
    </row>
    <row r="64" spans="1:6" ht="19.5" customHeight="1">
      <c r="A64" s="279"/>
      <c r="B64" s="106"/>
      <c r="C64" s="106"/>
      <c r="D64" s="106"/>
      <c r="E64" s="106"/>
      <c r="F64" s="106"/>
    </row>
    <row r="65" spans="1:2" ht="19.5" customHeight="1">
      <c r="A65" s="104" t="s">
        <v>144</v>
      </c>
      <c r="B65" s="53"/>
    </row>
    <row r="66" spans="1:2" ht="19.5" customHeight="1">
      <c r="A66" s="52"/>
      <c r="B66" s="53"/>
    </row>
    <row r="67" spans="1:2" ht="19.5" customHeight="1">
      <c r="A67" s="52"/>
      <c r="B67" s="53"/>
    </row>
    <row r="68" spans="1:2">
      <c r="A68" s="52"/>
      <c r="B68" s="53"/>
    </row>
    <row r="69" spans="1:2">
      <c r="A69" s="52"/>
      <c r="B69" s="53"/>
    </row>
    <row r="70" spans="1:2">
      <c r="A70" s="52"/>
      <c r="B70" s="53"/>
    </row>
    <row r="71" spans="1:2">
      <c r="A71" s="52"/>
      <c r="B71" s="53"/>
    </row>
    <row r="72" spans="1:2">
      <c r="A72" s="52"/>
      <c r="B72" s="53"/>
    </row>
    <row r="73" spans="1:2">
      <c r="A73" s="52"/>
      <c r="B73" s="53"/>
    </row>
    <row r="74" spans="1:2">
      <c r="A74" s="52"/>
      <c r="B74" s="53"/>
    </row>
    <row r="75" spans="1:2">
      <c r="A75" s="52"/>
      <c r="B75" s="53"/>
    </row>
    <row r="76" spans="1:2">
      <c r="A76" s="52"/>
      <c r="B76" s="53"/>
    </row>
    <row r="77" spans="1:2">
      <c r="A77" s="52"/>
      <c r="B77" s="53"/>
    </row>
    <row r="78" spans="1:2">
      <c r="A78" s="52"/>
      <c r="B78" s="53"/>
    </row>
    <row r="79" spans="1:2">
      <c r="A79" s="52"/>
      <c r="B79" s="53"/>
    </row>
    <row r="80" spans="1:2" ht="15" thickBot="1">
      <c r="A80" s="52"/>
      <c r="B80" s="53"/>
    </row>
    <row r="81" spans="1:15" ht="18.95" thickBot="1">
      <c r="A81" s="360" t="s">
        <v>145</v>
      </c>
      <c r="B81" s="360"/>
      <c r="C81" s="360"/>
      <c r="D81" s="360"/>
      <c r="E81" s="360"/>
      <c r="F81" s="360"/>
    </row>
    <row r="82" spans="1:15" ht="18.95" thickBot="1">
      <c r="A82" s="16" t="s">
        <v>136</v>
      </c>
      <c r="B82" s="17" t="s">
        <v>147</v>
      </c>
      <c r="C82" s="18" t="s">
        <v>148</v>
      </c>
      <c r="D82" s="19" t="s">
        <v>149</v>
      </c>
      <c r="E82" s="17" t="s">
        <v>150</v>
      </c>
      <c r="F82" s="20" t="s">
        <v>151</v>
      </c>
      <c r="H82" s="540" t="s">
        <v>146</v>
      </c>
      <c r="I82" s="540"/>
      <c r="J82" s="540"/>
      <c r="K82" s="540"/>
      <c r="L82" s="540"/>
      <c r="M82" s="540"/>
      <c r="N82" s="540"/>
      <c r="O82" s="540"/>
    </row>
    <row r="83" spans="1:15" s="15" customFormat="1" ht="42" hidden="1" customHeight="1">
      <c r="A83" s="541" t="s">
        <v>484</v>
      </c>
      <c r="B83" s="542" t="s">
        <v>514</v>
      </c>
      <c r="C83" s="332" t="s">
        <v>515</v>
      </c>
      <c r="D83" s="332" t="s">
        <v>516</v>
      </c>
      <c r="E83" s="337">
        <v>46122</v>
      </c>
      <c r="F83" s="339">
        <v>5</v>
      </c>
      <c r="G83" s="53"/>
      <c r="H83" s="21" t="s">
        <v>58</v>
      </c>
      <c r="I83" s="22" t="s">
        <v>152</v>
      </c>
      <c r="J83" s="22" t="s">
        <v>153</v>
      </c>
      <c r="K83" s="23" t="s">
        <v>154</v>
      </c>
      <c r="L83" s="23" t="s">
        <v>155</v>
      </c>
      <c r="M83" s="24" t="s">
        <v>156</v>
      </c>
      <c r="N83" s="23" t="s">
        <v>157</v>
      </c>
      <c r="O83" s="36" t="s">
        <v>158</v>
      </c>
    </row>
    <row r="84" spans="1:15" ht="16.5" hidden="1" customHeight="1">
      <c r="A84" s="541"/>
      <c r="B84" s="542"/>
      <c r="C84" s="332"/>
      <c r="D84" s="332"/>
      <c r="E84" s="337"/>
      <c r="F84" s="339"/>
      <c r="H84" s="330"/>
      <c r="I84" s="372"/>
      <c r="J84" s="367"/>
      <c r="K84" s="372"/>
      <c r="L84" s="367" t="s">
        <v>517</v>
      </c>
      <c r="M84" s="370"/>
      <c r="N84" s="372"/>
      <c r="O84" s="374"/>
    </row>
    <row r="85" spans="1:15" ht="18.75" customHeight="1">
      <c r="A85" s="541" t="s">
        <v>484</v>
      </c>
      <c r="B85" s="542" t="s">
        <v>518</v>
      </c>
      <c r="C85" s="542" t="s">
        <v>519</v>
      </c>
      <c r="D85" s="332" t="s">
        <v>520</v>
      </c>
      <c r="E85" s="337">
        <v>46258</v>
      </c>
      <c r="F85" s="339">
        <v>3</v>
      </c>
      <c r="H85" s="330"/>
      <c r="I85" s="372"/>
      <c r="J85" s="367"/>
      <c r="K85" s="372"/>
      <c r="L85" s="367"/>
      <c r="M85" s="370"/>
      <c r="N85" s="372"/>
      <c r="O85" s="374"/>
    </row>
    <row r="86" spans="1:15" ht="49.5" customHeight="1">
      <c r="A86" s="541"/>
      <c r="B86" s="542"/>
      <c r="C86" s="542"/>
      <c r="D86" s="332"/>
      <c r="E86" s="337"/>
      <c r="F86" s="339"/>
      <c r="H86" s="330"/>
      <c r="I86" s="367"/>
      <c r="J86" s="367"/>
      <c r="K86" s="367"/>
      <c r="L86" s="367"/>
      <c r="M86" s="370"/>
      <c r="N86" s="367"/>
      <c r="O86" s="345"/>
    </row>
    <row r="87" spans="1:15" ht="15.75" hidden="1" customHeight="1">
      <c r="A87" s="541" t="s">
        <v>484</v>
      </c>
      <c r="B87" s="543" t="s">
        <v>521</v>
      </c>
      <c r="C87" s="343" t="s">
        <v>522</v>
      </c>
      <c r="D87" s="336" t="s">
        <v>516</v>
      </c>
      <c r="E87" s="544">
        <v>46157</v>
      </c>
      <c r="F87" s="339">
        <v>5</v>
      </c>
      <c r="H87" s="330"/>
      <c r="I87" s="367"/>
      <c r="J87" s="367"/>
      <c r="K87" s="367"/>
      <c r="L87" s="367"/>
      <c r="M87" s="370"/>
      <c r="N87" s="367"/>
      <c r="O87" s="345"/>
    </row>
    <row r="88" spans="1:15" ht="71.25" hidden="1" customHeight="1">
      <c r="A88" s="541"/>
      <c r="B88" s="543"/>
      <c r="C88" s="343"/>
      <c r="D88" s="336"/>
      <c r="E88" s="544"/>
      <c r="F88" s="339"/>
      <c r="H88" s="291"/>
      <c r="I88" s="255"/>
      <c r="J88" s="255"/>
      <c r="K88" s="255"/>
      <c r="L88" s="255"/>
      <c r="M88" s="292"/>
      <c r="N88" s="255"/>
      <c r="O88" s="290"/>
    </row>
    <row r="89" spans="1:15" ht="48" customHeight="1">
      <c r="A89" s="541" t="s">
        <v>484</v>
      </c>
      <c r="B89" s="493" t="s">
        <v>523</v>
      </c>
      <c r="C89" s="343" t="s">
        <v>524</v>
      </c>
      <c r="D89" s="336" t="s">
        <v>525</v>
      </c>
      <c r="E89" s="337">
        <v>46280</v>
      </c>
      <c r="F89" s="339">
        <v>3</v>
      </c>
      <c r="H89" s="171"/>
      <c r="I89" s="255"/>
      <c r="J89" s="255"/>
      <c r="K89" s="255"/>
      <c r="L89" s="255"/>
      <c r="M89" s="255"/>
      <c r="N89" s="255"/>
      <c r="O89" s="255"/>
    </row>
    <row r="90" spans="1:15" ht="45" customHeight="1">
      <c r="A90" s="541"/>
      <c r="B90" s="493"/>
      <c r="C90" s="343"/>
      <c r="D90" s="336"/>
      <c r="E90" s="337"/>
      <c r="F90" s="339"/>
      <c r="H90" s="330"/>
      <c r="I90" s="367"/>
      <c r="J90" s="367"/>
      <c r="K90" s="367"/>
      <c r="L90" s="367"/>
      <c r="M90" s="370"/>
      <c r="N90" s="367"/>
      <c r="O90" s="345"/>
    </row>
    <row r="91" spans="1:15" ht="36.6" hidden="1" customHeight="1" thickBot="1">
      <c r="A91" s="541" t="s">
        <v>484</v>
      </c>
      <c r="B91" s="545" t="s">
        <v>526</v>
      </c>
      <c r="C91" s="343" t="s">
        <v>527</v>
      </c>
      <c r="D91" s="336" t="s">
        <v>516</v>
      </c>
      <c r="E91" s="337">
        <v>46213</v>
      </c>
      <c r="F91" s="339">
        <v>5</v>
      </c>
      <c r="H91" s="330"/>
      <c r="I91" s="367"/>
      <c r="J91" s="367"/>
      <c r="K91" s="367"/>
      <c r="L91" s="367"/>
      <c r="M91" s="370"/>
      <c r="N91" s="367"/>
      <c r="O91" s="345"/>
    </row>
    <row r="92" spans="1:15" ht="16.5" hidden="1" customHeight="1">
      <c r="A92" s="541"/>
      <c r="B92" s="545"/>
      <c r="C92" s="343"/>
      <c r="D92" s="336"/>
      <c r="E92" s="337"/>
      <c r="F92" s="339"/>
      <c r="H92" s="330"/>
      <c r="I92" s="367"/>
      <c r="J92" s="367"/>
      <c r="K92" s="369"/>
      <c r="L92" s="367"/>
      <c r="M92" s="370"/>
      <c r="N92" s="372"/>
      <c r="O92" s="374"/>
    </row>
    <row r="93" spans="1:15" ht="28.5" customHeight="1">
      <c r="A93" s="548" t="s">
        <v>484</v>
      </c>
      <c r="B93" s="388" t="s">
        <v>528</v>
      </c>
      <c r="C93" s="553" t="s">
        <v>529</v>
      </c>
      <c r="D93" s="554" t="s">
        <v>516</v>
      </c>
      <c r="E93" s="546">
        <v>46265</v>
      </c>
      <c r="F93" s="547">
        <v>3</v>
      </c>
      <c r="H93" s="330"/>
      <c r="I93" s="367"/>
      <c r="J93" s="367"/>
      <c r="K93" s="369"/>
      <c r="L93" s="367"/>
      <c r="M93" s="370"/>
      <c r="N93" s="372"/>
      <c r="O93" s="374"/>
    </row>
    <row r="94" spans="1:15" s="15" customFormat="1" ht="49.5" customHeight="1">
      <c r="A94" s="548"/>
      <c r="B94" s="388"/>
      <c r="C94" s="553"/>
      <c r="D94" s="554"/>
      <c r="E94" s="546"/>
      <c r="F94" s="547"/>
      <c r="G94" s="53"/>
      <c r="H94" s="330"/>
      <c r="I94" s="367"/>
      <c r="J94" s="367"/>
      <c r="K94" s="372"/>
      <c r="L94" s="367"/>
      <c r="M94" s="370"/>
      <c r="N94" s="367"/>
      <c r="O94" s="345"/>
    </row>
    <row r="95" spans="1:15" s="15" customFormat="1" ht="25.5" hidden="1" customHeight="1">
      <c r="A95" s="548" t="s">
        <v>484</v>
      </c>
      <c r="B95" s="552" t="s">
        <v>530</v>
      </c>
      <c r="C95" s="553" t="s">
        <v>531</v>
      </c>
      <c r="D95" s="554" t="s">
        <v>532</v>
      </c>
      <c r="E95" s="546">
        <v>46210</v>
      </c>
      <c r="F95" s="547">
        <v>5</v>
      </c>
      <c r="G95" s="53"/>
      <c r="H95" s="330"/>
      <c r="I95" s="367"/>
      <c r="J95" s="367"/>
      <c r="K95" s="372"/>
      <c r="L95" s="367"/>
      <c r="M95" s="370"/>
      <c r="N95" s="367"/>
      <c r="O95" s="345"/>
    </row>
    <row r="96" spans="1:15" s="15" customFormat="1" ht="26.45" hidden="1" customHeight="1">
      <c r="A96" s="548"/>
      <c r="B96" s="552"/>
      <c r="C96" s="553"/>
      <c r="D96" s="554"/>
      <c r="E96" s="546"/>
      <c r="F96" s="547"/>
      <c r="G96" s="53"/>
      <c r="H96" s="177"/>
      <c r="I96" s="177"/>
      <c r="J96" s="177"/>
      <c r="K96" s="177"/>
      <c r="L96" s="177"/>
      <c r="N96" s="177"/>
      <c r="O96" s="177"/>
    </row>
    <row r="97" spans="1:15" s="15" customFormat="1" ht="23.45" hidden="1" customHeight="1">
      <c r="A97" s="548" t="s">
        <v>510</v>
      </c>
      <c r="B97" s="549" t="s">
        <v>533</v>
      </c>
      <c r="C97" s="550" t="s">
        <v>534</v>
      </c>
      <c r="D97" s="551" t="s">
        <v>535</v>
      </c>
      <c r="E97" s="546">
        <v>46129</v>
      </c>
      <c r="F97" s="547">
        <v>5</v>
      </c>
      <c r="G97" s="53"/>
      <c r="H97" s="177"/>
      <c r="I97" s="177"/>
      <c r="J97" s="177"/>
      <c r="K97" s="177"/>
      <c r="L97" s="177"/>
      <c r="N97" s="177"/>
      <c r="O97" s="177"/>
    </row>
    <row r="98" spans="1:15" ht="16.5" hidden="1" customHeight="1">
      <c r="A98" s="548"/>
      <c r="B98" s="549"/>
      <c r="C98" s="550"/>
      <c r="D98" s="551"/>
      <c r="E98" s="546"/>
      <c r="F98" s="547"/>
      <c r="H98" s="177"/>
      <c r="I98" s="177"/>
      <c r="J98" s="177"/>
      <c r="K98" s="177"/>
      <c r="L98" s="177"/>
      <c r="M98" s="15"/>
      <c r="N98" s="177"/>
      <c r="O98" s="177"/>
    </row>
    <row r="99" spans="1:15" ht="153.94999999999999" customHeight="1">
      <c r="A99" s="548" t="s">
        <v>510</v>
      </c>
      <c r="B99" s="552" t="s">
        <v>536</v>
      </c>
      <c r="C99" s="553" t="s">
        <v>537</v>
      </c>
      <c r="D99" s="554" t="s">
        <v>538</v>
      </c>
      <c r="E99" s="546">
        <v>46269</v>
      </c>
      <c r="F99" s="547">
        <v>3</v>
      </c>
      <c r="H99" s="177"/>
      <c r="I99" s="177"/>
      <c r="J99" s="177"/>
      <c r="K99" s="177"/>
      <c r="L99" s="177"/>
      <c r="M99" s="15"/>
      <c r="N99" s="177"/>
      <c r="O99" s="177"/>
    </row>
    <row r="100" spans="1:15" ht="153.94999999999999" customHeight="1">
      <c r="A100" s="548"/>
      <c r="B100" s="552"/>
      <c r="C100" s="553"/>
      <c r="D100" s="554"/>
      <c r="E100" s="546"/>
      <c r="F100" s="547"/>
      <c r="H100" s="177"/>
      <c r="I100" s="177"/>
      <c r="J100" s="177"/>
      <c r="K100" s="177"/>
      <c r="L100" s="177"/>
      <c r="M100" s="15"/>
      <c r="N100" s="177"/>
      <c r="O100" s="177"/>
    </row>
    <row r="101" spans="1:15" ht="159.94999999999999" customHeight="1">
      <c r="A101" s="548" t="s">
        <v>510</v>
      </c>
      <c r="B101" s="553" t="s">
        <v>487</v>
      </c>
      <c r="C101" s="553" t="s">
        <v>539</v>
      </c>
      <c r="D101" s="554" t="s">
        <v>540</v>
      </c>
      <c r="E101" s="546">
        <v>46233</v>
      </c>
      <c r="F101" s="547">
        <v>5</v>
      </c>
      <c r="H101" s="177"/>
      <c r="I101" s="177"/>
      <c r="J101" s="177"/>
      <c r="K101" s="177"/>
      <c r="L101" s="177"/>
      <c r="M101" s="15"/>
      <c r="N101" s="177"/>
      <c r="O101" s="177"/>
    </row>
    <row r="102" spans="1:15" ht="159.94999999999999" customHeight="1">
      <c r="A102" s="548"/>
      <c r="B102" s="553"/>
      <c r="C102" s="555"/>
      <c r="D102" s="554"/>
      <c r="E102" s="546"/>
      <c r="F102" s="547"/>
      <c r="H102" s="177"/>
      <c r="I102" s="177"/>
      <c r="J102" s="177"/>
      <c r="K102" s="177"/>
      <c r="L102" s="177"/>
      <c r="M102" s="15"/>
      <c r="N102" s="177"/>
      <c r="O102" s="177"/>
    </row>
    <row r="103" spans="1:15" ht="51.75" hidden="1" customHeight="1">
      <c r="A103" s="548" t="s">
        <v>541</v>
      </c>
      <c r="B103" s="553" t="s">
        <v>542</v>
      </c>
      <c r="C103" s="554" t="s">
        <v>543</v>
      </c>
      <c r="D103" s="554" t="s">
        <v>544</v>
      </c>
      <c r="E103" s="546">
        <v>46068</v>
      </c>
      <c r="F103" s="547">
        <v>5</v>
      </c>
      <c r="H103" s="177"/>
      <c r="I103" s="177"/>
      <c r="J103" s="177"/>
      <c r="K103" s="177"/>
      <c r="L103" s="177"/>
      <c r="M103" s="15"/>
      <c r="N103" s="177"/>
      <c r="O103" s="177"/>
    </row>
    <row r="104" spans="1:15" ht="17.25" hidden="1" customHeight="1">
      <c r="A104" s="548"/>
      <c r="B104" s="553"/>
      <c r="C104" s="554"/>
      <c r="D104" s="554"/>
      <c r="E104" s="546"/>
      <c r="F104" s="547"/>
    </row>
    <row r="105" spans="1:15" ht="105" customHeight="1">
      <c r="A105" s="548" t="s">
        <v>510</v>
      </c>
      <c r="B105" s="553" t="s">
        <v>487</v>
      </c>
      <c r="C105" s="553" t="s">
        <v>545</v>
      </c>
      <c r="D105" s="554" t="s">
        <v>546</v>
      </c>
      <c r="E105" s="546">
        <v>46265</v>
      </c>
      <c r="F105" s="547">
        <v>3</v>
      </c>
    </row>
    <row r="106" spans="1:15" ht="105" customHeight="1">
      <c r="A106" s="548"/>
      <c r="B106" s="553"/>
      <c r="C106" s="553"/>
      <c r="D106" s="554"/>
      <c r="E106" s="546"/>
      <c r="F106" s="547"/>
    </row>
    <row r="107" spans="1:15" ht="97.5" customHeight="1">
      <c r="A107" s="548" t="s">
        <v>510</v>
      </c>
      <c r="B107" s="343" t="s">
        <v>547</v>
      </c>
      <c r="C107" s="343" t="s">
        <v>548</v>
      </c>
      <c r="D107" s="336" t="s">
        <v>549</v>
      </c>
      <c r="E107" s="337" t="s">
        <v>550</v>
      </c>
      <c r="F107" s="547">
        <v>3</v>
      </c>
    </row>
    <row r="108" spans="1:15" ht="97.5" customHeight="1">
      <c r="A108" s="548"/>
      <c r="B108" s="553"/>
      <c r="C108" s="553"/>
      <c r="D108" s="554"/>
      <c r="E108" s="546"/>
      <c r="F108" s="547"/>
    </row>
    <row r="109" spans="1:15" ht="17.25" hidden="1" customHeight="1">
      <c r="A109" s="548" t="s">
        <v>551</v>
      </c>
      <c r="B109" s="554" t="s">
        <v>552</v>
      </c>
      <c r="C109" s="554" t="s">
        <v>553</v>
      </c>
      <c r="D109" s="554" t="s">
        <v>554</v>
      </c>
      <c r="E109" s="546">
        <v>46217</v>
      </c>
      <c r="F109" s="547">
        <v>5</v>
      </c>
    </row>
    <row r="110" spans="1:15" ht="34.5" hidden="1" customHeight="1">
      <c r="A110" s="548"/>
      <c r="B110" s="554"/>
      <c r="C110" s="554"/>
      <c r="D110" s="554"/>
      <c r="E110" s="546"/>
      <c r="F110" s="547"/>
    </row>
    <row r="111" spans="1:15" ht="39.75" customHeight="1">
      <c r="A111" s="311" t="s">
        <v>551</v>
      </c>
      <c r="B111" s="434" t="s">
        <v>555</v>
      </c>
      <c r="C111" s="434" t="s">
        <v>556</v>
      </c>
      <c r="D111" s="434" t="s">
        <v>557</v>
      </c>
      <c r="E111" s="459">
        <v>46264</v>
      </c>
      <c r="F111" s="487">
        <v>3</v>
      </c>
    </row>
    <row r="112" spans="1:15" ht="123.75" customHeight="1" thickBot="1">
      <c r="A112" s="312"/>
      <c r="B112" s="434"/>
      <c r="C112" s="434"/>
      <c r="D112" s="434"/>
      <c r="E112" s="459"/>
      <c r="F112" s="487"/>
    </row>
    <row r="113" spans="1:8" ht="36" hidden="1" customHeight="1">
      <c r="A113" s="541" t="s">
        <v>551</v>
      </c>
      <c r="B113" s="336" t="s">
        <v>558</v>
      </c>
      <c r="C113" s="336" t="s">
        <v>559</v>
      </c>
      <c r="D113" s="336" t="s">
        <v>557</v>
      </c>
      <c r="E113" s="337">
        <v>46157</v>
      </c>
      <c r="F113" s="339">
        <v>5</v>
      </c>
    </row>
    <row r="114" spans="1:8" ht="36" hidden="1" customHeight="1" thickBot="1">
      <c r="A114" s="541"/>
      <c r="B114" s="336"/>
      <c r="C114" s="336"/>
      <c r="D114" s="336"/>
      <c r="E114" s="337"/>
      <c r="F114" s="339"/>
    </row>
    <row r="115" spans="1:8" ht="33" hidden="1" customHeight="1">
      <c r="A115" s="541" t="s">
        <v>560</v>
      </c>
      <c r="B115" s="336" t="s">
        <v>561</v>
      </c>
      <c r="C115" s="336" t="s">
        <v>562</v>
      </c>
      <c r="D115" s="336" t="s">
        <v>563</v>
      </c>
      <c r="E115" s="337">
        <v>46172</v>
      </c>
      <c r="F115" s="339">
        <v>5</v>
      </c>
    </row>
    <row r="116" spans="1:8" ht="25.5" hidden="1" customHeight="1" thickBot="1">
      <c r="A116" s="558"/>
      <c r="B116" s="333"/>
      <c r="C116" s="333"/>
      <c r="D116" s="333"/>
      <c r="E116" s="338"/>
      <c r="F116" s="340"/>
      <c r="G116" s="52"/>
    </row>
    <row r="117" spans="1:8" ht="45" customHeight="1">
      <c r="A117" s="280" t="s">
        <v>195</v>
      </c>
      <c r="B117" s="280" t="s">
        <v>196</v>
      </c>
      <c r="C117" s="281" t="s">
        <v>197</v>
      </c>
      <c r="D117" s="281" t="s">
        <v>198</v>
      </c>
      <c r="E117" s="556" t="s">
        <v>199</v>
      </c>
      <c r="F117" s="557"/>
      <c r="G117" s="52"/>
    </row>
    <row r="118" spans="1:8" ht="21.75" customHeight="1">
      <c r="A118" s="52"/>
      <c r="C118" s="52"/>
      <c r="D118" s="52"/>
      <c r="E118" s="52"/>
      <c r="F118" s="52"/>
      <c r="G118" s="52"/>
    </row>
    <row r="119" spans="1:8" ht="36" customHeight="1">
      <c r="G119" s="52"/>
    </row>
    <row r="120" spans="1:8" ht="21.75" customHeight="1">
      <c r="G120" s="52"/>
    </row>
    <row r="121" spans="1:8" ht="21.75" customHeight="1">
      <c r="G121" s="52"/>
    </row>
    <row r="122" spans="1:8" ht="21.75" customHeight="1">
      <c r="G122" s="52"/>
    </row>
    <row r="123" spans="1:8" ht="21.75" customHeight="1">
      <c r="G123" s="52"/>
    </row>
    <row r="124" spans="1:8" ht="21.75" customHeight="1">
      <c r="G124" s="52"/>
      <c r="H124" s="52"/>
    </row>
    <row r="125" spans="1:8" ht="21.75" customHeight="1">
      <c r="G125" s="52"/>
    </row>
    <row r="126" spans="1:8" ht="21.75" customHeight="1">
      <c r="B126" s="52" t="s">
        <v>564</v>
      </c>
      <c r="G126" s="52"/>
    </row>
    <row r="127" spans="1:8" ht="87" customHeight="1">
      <c r="B127" s="293" t="s">
        <v>565</v>
      </c>
      <c r="G127" s="52"/>
    </row>
    <row r="128" spans="1:8" ht="21.75" customHeight="1">
      <c r="G128" s="52"/>
    </row>
    <row r="129" spans="7:7" ht="21.75" customHeight="1">
      <c r="G129" s="52"/>
    </row>
    <row r="130" spans="7:7">
      <c r="G130" s="52"/>
    </row>
  </sheetData>
  <mergeCells count="204">
    <mergeCell ref="E117:F117"/>
    <mergeCell ref="F113:F114"/>
    <mergeCell ref="A115:A116"/>
    <mergeCell ref="B115:B116"/>
    <mergeCell ref="C115:C116"/>
    <mergeCell ref="D115:D116"/>
    <mergeCell ref="E115:E116"/>
    <mergeCell ref="F115:F116"/>
    <mergeCell ref="B111:B112"/>
    <mergeCell ref="C111:C112"/>
    <mergeCell ref="D111:D112"/>
    <mergeCell ref="E111:E112"/>
    <mergeCell ref="F111:F112"/>
    <mergeCell ref="A113:A114"/>
    <mergeCell ref="B113:B114"/>
    <mergeCell ref="C113:C114"/>
    <mergeCell ref="D113:D114"/>
    <mergeCell ref="E113:E114"/>
    <mergeCell ref="A109:A110"/>
    <mergeCell ref="B109:B110"/>
    <mergeCell ref="C109:C110"/>
    <mergeCell ref="D109:D110"/>
    <mergeCell ref="E109:E110"/>
    <mergeCell ref="F109:F110"/>
    <mergeCell ref="A107:A108"/>
    <mergeCell ref="B107:B108"/>
    <mergeCell ref="C107:C108"/>
    <mergeCell ref="D107:D108"/>
    <mergeCell ref="E107:E108"/>
    <mergeCell ref="F107:F108"/>
    <mergeCell ref="A105:A106"/>
    <mergeCell ref="B105:B106"/>
    <mergeCell ref="C105:C106"/>
    <mergeCell ref="D105:D106"/>
    <mergeCell ref="E105:E106"/>
    <mergeCell ref="F105:F106"/>
    <mergeCell ref="A103:A104"/>
    <mergeCell ref="B103:B104"/>
    <mergeCell ref="C103:C104"/>
    <mergeCell ref="D103:D104"/>
    <mergeCell ref="E103:E104"/>
    <mergeCell ref="F103:F104"/>
    <mergeCell ref="A101:A102"/>
    <mergeCell ref="B101:B102"/>
    <mergeCell ref="C101:C102"/>
    <mergeCell ref="D101:D102"/>
    <mergeCell ref="E101:E102"/>
    <mergeCell ref="F101:F102"/>
    <mergeCell ref="A99:A100"/>
    <mergeCell ref="B99:B100"/>
    <mergeCell ref="C99:C100"/>
    <mergeCell ref="D99:D100"/>
    <mergeCell ref="E99:E100"/>
    <mergeCell ref="F99:F100"/>
    <mergeCell ref="A97:A98"/>
    <mergeCell ref="B97:B98"/>
    <mergeCell ref="C97:C98"/>
    <mergeCell ref="D97:D98"/>
    <mergeCell ref="E97:E98"/>
    <mergeCell ref="F97:F98"/>
    <mergeCell ref="N94:N95"/>
    <mergeCell ref="O94:O95"/>
    <mergeCell ref="A95:A96"/>
    <mergeCell ref="B95:B96"/>
    <mergeCell ref="C95:C96"/>
    <mergeCell ref="D95:D96"/>
    <mergeCell ref="E95:E96"/>
    <mergeCell ref="F95:F96"/>
    <mergeCell ref="H94:H95"/>
    <mergeCell ref="I94:I95"/>
    <mergeCell ref="J94:J95"/>
    <mergeCell ref="K94:K95"/>
    <mergeCell ref="L94:L95"/>
    <mergeCell ref="M94:M95"/>
    <mergeCell ref="A93:A94"/>
    <mergeCell ref="B93:B94"/>
    <mergeCell ref="C93:C94"/>
    <mergeCell ref="D93:D94"/>
    <mergeCell ref="J92:J93"/>
    <mergeCell ref="K92:K93"/>
    <mergeCell ref="L92:L93"/>
    <mergeCell ref="M92:M93"/>
    <mergeCell ref="N92:N93"/>
    <mergeCell ref="O92:O93"/>
    <mergeCell ref="N90:N91"/>
    <mergeCell ref="O90:O91"/>
    <mergeCell ref="J90:J91"/>
    <mergeCell ref="K90:K91"/>
    <mergeCell ref="L90:L91"/>
    <mergeCell ref="M90:M91"/>
    <mergeCell ref="A91:A92"/>
    <mergeCell ref="B91:B92"/>
    <mergeCell ref="C91:C92"/>
    <mergeCell ref="D91:D92"/>
    <mergeCell ref="E91:E92"/>
    <mergeCell ref="F91:F92"/>
    <mergeCell ref="H92:H93"/>
    <mergeCell ref="I92:I93"/>
    <mergeCell ref="H90:H91"/>
    <mergeCell ref="I90:I91"/>
    <mergeCell ref="A89:A90"/>
    <mergeCell ref="B89:B90"/>
    <mergeCell ref="C89:C90"/>
    <mergeCell ref="D89:D90"/>
    <mergeCell ref="E89:E90"/>
    <mergeCell ref="F89:F90"/>
    <mergeCell ref="E93:E94"/>
    <mergeCell ref="F93:F94"/>
    <mergeCell ref="K84:K85"/>
    <mergeCell ref="L84:L85"/>
    <mergeCell ref="O86:O87"/>
    <mergeCell ref="A87:A88"/>
    <mergeCell ref="B87:B88"/>
    <mergeCell ref="C87:C88"/>
    <mergeCell ref="D87:D88"/>
    <mergeCell ref="E87:E88"/>
    <mergeCell ref="F87:F88"/>
    <mergeCell ref="I86:I87"/>
    <mergeCell ref="J86:J87"/>
    <mergeCell ref="K86:K87"/>
    <mergeCell ref="L86:L87"/>
    <mergeCell ref="M86:M87"/>
    <mergeCell ref="N86:N87"/>
    <mergeCell ref="A42:E42"/>
    <mergeCell ref="A45:B45"/>
    <mergeCell ref="B46:F46"/>
    <mergeCell ref="A81:F81"/>
    <mergeCell ref="H82:O82"/>
    <mergeCell ref="A83:A84"/>
    <mergeCell ref="B83:B84"/>
    <mergeCell ref="C83:C84"/>
    <mergeCell ref="D83:D84"/>
    <mergeCell ref="E83:E84"/>
    <mergeCell ref="M84:M85"/>
    <mergeCell ref="N84:N85"/>
    <mergeCell ref="O84:O85"/>
    <mergeCell ref="A85:A86"/>
    <mergeCell ref="B85:B86"/>
    <mergeCell ref="C85:C86"/>
    <mergeCell ref="D85:D86"/>
    <mergeCell ref="E85:E86"/>
    <mergeCell ref="F85:F86"/>
    <mergeCell ref="H86:H87"/>
    <mergeCell ref="F83:F84"/>
    <mergeCell ref="H84:H85"/>
    <mergeCell ref="I84:I85"/>
    <mergeCell ref="J84:J85"/>
    <mergeCell ref="G20:G21"/>
    <mergeCell ref="A22:A23"/>
    <mergeCell ref="B22:B23"/>
    <mergeCell ref="C22:C23"/>
    <mergeCell ref="D22:D23"/>
    <mergeCell ref="E22:E23"/>
    <mergeCell ref="F22:F23"/>
    <mergeCell ref="G22:G23"/>
    <mergeCell ref="A20:A21"/>
    <mergeCell ref="B20:B21"/>
    <mergeCell ref="C20:C21"/>
    <mergeCell ref="D20:D21"/>
    <mergeCell ref="E20:E21"/>
    <mergeCell ref="F20:F2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s>
  <conditionalFormatting sqref="A16 H84:H95 C87:E87 A91:A111 A113:A116">
    <cfRule type="containsBlanks" dxfId="341" priority="40">
      <formula>LEN(TRIM(A16))=0</formula>
    </cfRule>
  </conditionalFormatting>
  <conditionalFormatting sqref="A83:A89">
    <cfRule type="containsBlanks" dxfId="340" priority="13">
      <formula>LEN(TRIM(A83))=0</formula>
    </cfRule>
  </conditionalFormatting>
  <conditionalFormatting sqref="A48:C48 E48:F48 B49:F49 A51 C51:F51 B52:F52 A54:C54 E54:F54 B55:F55 D57:F58 B58:C58 A60:B60 C60:F61 B61 A63:F63 B64:F64">
    <cfRule type="containsBlanks" dxfId="339" priority="38">
      <formula>LEN(TRIM(A48))=0</formula>
    </cfRule>
  </conditionalFormatting>
  <conditionalFormatting sqref="A57:C57">
    <cfRule type="containsBlanks" dxfId="338" priority="2">
      <formula>LEN(TRIM(A57))=0</formula>
    </cfRule>
  </conditionalFormatting>
  <conditionalFormatting sqref="A6:G6 A8:G8">
    <cfRule type="containsBlanks" dxfId="337" priority="51">
      <formula>LEN(TRIM(A6))=0</formula>
    </cfRule>
  </conditionalFormatting>
  <conditionalFormatting sqref="A14:G14">
    <cfRule type="containsBlanks" dxfId="336" priority="60">
      <formula>LEN(TRIM(A14))=0</formula>
    </cfRule>
  </conditionalFormatting>
  <conditionalFormatting sqref="A18:G18">
    <cfRule type="containsBlanks" dxfId="335" priority="46">
      <formula>LEN(TRIM(A18))=0</formula>
    </cfRule>
  </conditionalFormatting>
  <conditionalFormatting sqref="A20:G20">
    <cfRule type="containsBlanks" dxfId="334" priority="25">
      <formula>LEN(TRIM(A20))=0</formula>
    </cfRule>
  </conditionalFormatting>
  <conditionalFormatting sqref="A22:G22">
    <cfRule type="containsBlanks" dxfId="333" priority="48">
      <formula>LEN(TRIM(A22))=0</formula>
    </cfRule>
  </conditionalFormatting>
  <conditionalFormatting sqref="B83:E83">
    <cfRule type="containsBlanks" dxfId="332" priority="21">
      <formula>LEN(TRIM(B83))=0</formula>
    </cfRule>
  </conditionalFormatting>
  <conditionalFormatting sqref="B85:E85">
    <cfRule type="containsBlanks" dxfId="331" priority="20">
      <formula>LEN(TRIM(B85))=0</formula>
    </cfRule>
  </conditionalFormatting>
  <conditionalFormatting sqref="B95:E95">
    <cfRule type="containsBlanks" dxfId="330" priority="18">
      <formula>LEN(TRIM(B95))=0</formula>
    </cfRule>
  </conditionalFormatting>
  <conditionalFormatting sqref="B97:E97">
    <cfRule type="containsBlanks" dxfId="329" priority="28">
      <formula>LEN(TRIM(B97))=0</formula>
    </cfRule>
  </conditionalFormatting>
  <conditionalFormatting sqref="B99:E99">
    <cfRule type="containsBlanks" dxfId="328" priority="14">
      <formula>LEN(TRIM(B99))=0</formula>
    </cfRule>
  </conditionalFormatting>
  <conditionalFormatting sqref="B101:E101">
    <cfRule type="containsBlanks" dxfId="327" priority="15">
      <formula>LEN(TRIM(B101))=0</formula>
    </cfRule>
  </conditionalFormatting>
  <conditionalFormatting sqref="B103:E103">
    <cfRule type="containsBlanks" dxfId="326" priority="27">
      <formula>LEN(TRIM(B103))=0</formula>
    </cfRule>
  </conditionalFormatting>
  <conditionalFormatting sqref="B105:E105">
    <cfRule type="containsBlanks" dxfId="325" priority="1">
      <formula>LEN(TRIM(B105))=0</formula>
    </cfRule>
  </conditionalFormatting>
  <conditionalFormatting sqref="B109:E109">
    <cfRule type="containsBlanks" dxfId="324" priority="26">
      <formula>LEN(TRIM(B109))=0</formula>
    </cfRule>
  </conditionalFormatting>
  <conditionalFormatting sqref="B111:E111">
    <cfRule type="containsBlanks" dxfId="323" priority="24">
      <formula>LEN(TRIM(B111))=0</formula>
    </cfRule>
  </conditionalFormatting>
  <conditionalFormatting sqref="B113:E113">
    <cfRule type="containsBlanks" dxfId="322" priority="22">
      <formula>LEN(TRIM(B113))=0</formula>
    </cfRule>
  </conditionalFormatting>
  <conditionalFormatting sqref="B115:E115">
    <cfRule type="containsBlanks" dxfId="321" priority="23">
      <formula>LEN(TRIM(B115))=0</formula>
    </cfRule>
  </conditionalFormatting>
  <conditionalFormatting sqref="C91:E91">
    <cfRule type="containsBlanks" dxfId="320" priority="31">
      <formula>LEN(TRIM(C91))=0</formula>
    </cfRule>
  </conditionalFormatting>
  <conditionalFormatting sqref="C93:E93">
    <cfRule type="containsBlanks" dxfId="319" priority="19">
      <formula>LEN(TRIM(C93))=0</formula>
    </cfRule>
  </conditionalFormatting>
  <conditionalFormatting sqref="C10:G10">
    <cfRule type="containsBlanks" dxfId="318" priority="47">
      <formula>LEN(TRIM(C10))=0</formula>
    </cfRule>
  </conditionalFormatting>
  <conditionalFormatting sqref="C16:G16">
    <cfRule type="containsBlanks" dxfId="317" priority="49">
      <formula>LEN(TRIM(C16))=0</formula>
    </cfRule>
  </conditionalFormatting>
  <conditionalFormatting sqref="D1 F1">
    <cfRule type="containsBlanks" dxfId="316" priority="61">
      <formula>LEN(TRIM(D1))=0</formula>
    </cfRule>
  </conditionalFormatting>
  <conditionalFormatting sqref="E89">
    <cfRule type="containsBlanks" dxfId="315" priority="12">
      <formula>LEN(TRIM(E89))=0</formula>
    </cfRule>
  </conditionalFormatting>
  <conditionalFormatting sqref="F83">
    <cfRule type="expression" dxfId="314" priority="67">
      <formula>AND(#REF!&lt;&gt;"",E83&lt;TODAY(),F83&lt;4)</formula>
    </cfRule>
    <cfRule type="iconSet" priority="66">
      <iconSet iconSet="5Quarters" showValue="0">
        <cfvo type="percent" val="0"/>
        <cfvo type="num" val="2"/>
        <cfvo type="num" val="3"/>
        <cfvo type="num" val="4"/>
        <cfvo type="num" val="5"/>
      </iconSet>
    </cfRule>
  </conditionalFormatting>
  <conditionalFormatting sqref="F85">
    <cfRule type="iconSet" priority="68">
      <iconSet iconSet="5Quarters" showValue="0">
        <cfvo type="percent" val="0"/>
        <cfvo type="num" val="2"/>
        <cfvo type="num" val="3"/>
        <cfvo type="num" val="4"/>
        <cfvo type="num" val="5"/>
      </iconSet>
    </cfRule>
    <cfRule type="expression" dxfId="313" priority="69">
      <formula>AND(#REF!&lt;&gt;"",E85&lt;TODAY(),F85&lt;4)</formula>
    </cfRule>
  </conditionalFormatting>
  <conditionalFormatting sqref="F87">
    <cfRule type="iconSet" priority="34">
      <iconSet iconSet="5Quarters" showValue="0">
        <cfvo type="percent" val="0"/>
        <cfvo type="num" val="2"/>
        <cfvo type="num" val="3"/>
        <cfvo type="num" val="4"/>
        <cfvo type="num" val="5"/>
      </iconSet>
    </cfRule>
    <cfRule type="expression" dxfId="312" priority="35">
      <formula>AND(#REF!&lt;&gt;"",E87&lt;TODAY(),F87&lt;4)</formula>
    </cfRule>
  </conditionalFormatting>
  <conditionalFormatting sqref="F89">
    <cfRule type="iconSet" priority="10">
      <iconSet iconSet="5Quarters" showValue="0">
        <cfvo type="percent" val="0"/>
        <cfvo type="num" val="2"/>
        <cfvo type="num" val="3"/>
        <cfvo type="num" val="4"/>
        <cfvo type="num" val="5"/>
      </iconSet>
    </cfRule>
    <cfRule type="expression" dxfId="311" priority="11">
      <formula>AND(#REF!&lt;&gt;"",E89&lt;TODAY(),F89&lt;4)</formula>
    </cfRule>
  </conditionalFormatting>
  <conditionalFormatting sqref="F91 F93 F95">
    <cfRule type="iconSet" priority="32">
      <iconSet iconSet="5Quarters" showValue="0">
        <cfvo type="percent" val="0"/>
        <cfvo type="num" val="2"/>
        <cfvo type="num" val="3"/>
        <cfvo type="num" val="4"/>
        <cfvo type="num" val="5"/>
      </iconSet>
    </cfRule>
    <cfRule type="expression" dxfId="310" priority="33">
      <formula>AND(#REF!&lt;&gt;"",E91&lt;TODAY(),F91&lt;4)</formula>
    </cfRule>
  </conditionalFormatting>
  <conditionalFormatting sqref="F97 F99 F103 F109 F111 F113">
    <cfRule type="expression" dxfId="309" priority="71">
      <formula>AND(#REF!&lt;&gt;"",E97&lt;TODAY(),F97&lt;4)</formula>
    </cfRule>
  </conditionalFormatting>
  <conditionalFormatting sqref="F97 F103 F109 F111 F113 F99">
    <cfRule type="iconSet" priority="70">
      <iconSet iconSet="5Quarters" showValue="0">
        <cfvo type="percent" val="0"/>
        <cfvo type="num" val="2"/>
        <cfvo type="num" val="3"/>
        <cfvo type="num" val="4"/>
        <cfvo type="num" val="5"/>
      </iconSet>
    </cfRule>
  </conditionalFormatting>
  <conditionalFormatting sqref="F101">
    <cfRule type="expression" dxfId="308" priority="17">
      <formula>AND(#REF!&lt;&gt;"",E101&lt;TODAY(),F101&lt;4)</formula>
    </cfRule>
    <cfRule type="iconSet" priority="16">
      <iconSet iconSet="5Quarters" showValue="0">
        <cfvo type="percent" val="0"/>
        <cfvo type="num" val="2"/>
        <cfvo type="num" val="3"/>
        <cfvo type="num" val="4"/>
        <cfvo type="num" val="5"/>
      </iconSet>
    </cfRule>
  </conditionalFormatting>
  <conditionalFormatting sqref="F105">
    <cfRule type="expression" dxfId="307" priority="9">
      <formula>AND(#REF!&lt;&gt;"",E105&lt;TODAY(),F105&lt;4)</formula>
    </cfRule>
    <cfRule type="iconSet" priority="8">
      <iconSet iconSet="5Quarters" showValue="0">
        <cfvo type="percent" val="0"/>
        <cfvo type="num" val="2"/>
        <cfvo type="num" val="3"/>
        <cfvo type="num" val="4"/>
        <cfvo type="num" val="5"/>
      </iconSet>
    </cfRule>
  </conditionalFormatting>
  <conditionalFormatting sqref="F107">
    <cfRule type="iconSet" priority="4">
      <iconSet iconSet="5Quarters" showValue="0">
        <cfvo type="percent" val="0"/>
        <cfvo type="num" val="2"/>
        <cfvo type="num" val="3"/>
        <cfvo type="num" val="4"/>
        <cfvo type="num" val="5"/>
      </iconSet>
    </cfRule>
    <cfRule type="expression" dxfId="306" priority="5">
      <formula>AND(#REF!&lt;&gt;"",E107&lt;TODAY(),F107&lt;4)</formula>
    </cfRule>
  </conditionalFormatting>
  <conditionalFormatting sqref="F115">
    <cfRule type="iconSet" priority="29">
      <iconSet iconSet="5Quarters" showValue="0">
        <cfvo type="percent" val="0"/>
        <cfvo type="num" val="2"/>
        <cfvo type="num" val="3"/>
        <cfvo type="num" val="4"/>
        <cfvo type="num" val="5"/>
      </iconSet>
    </cfRule>
    <cfRule type="expression" dxfId="305" priority="30">
      <formula>AND(#REF!&lt;&gt;"",E115&lt;TODAY(),F115&lt;4)</formula>
    </cfRule>
  </conditionalFormatting>
  <conditionalFormatting sqref="I84:O84 I86:O86 I88:O90 I92:O92 I94:O94">
    <cfRule type="containsBlanks" dxfId="304" priority="39">
      <formula>LEN(TRIM(I84))=0</formula>
    </cfRule>
  </conditionalFormatting>
  <conditionalFormatting sqref="I7:T7 I9:T9 I11:T11">
    <cfRule type="containsBlanks" dxfId="303" priority="41">
      <formula>LEN(TRIM(I7))=0</formula>
    </cfRule>
  </conditionalFormatting>
  <conditionalFormatting sqref="I7:T7 I9:T9 I17:T17 I19:T19 I21:T21 I23:T23">
    <cfRule type="expression" dxfId="302" priority="53">
      <formula>AND(OR($F6="Lower the better", $F6="Lower the Better"), I7&lt;=I6)</formula>
    </cfRule>
    <cfRule type="expression" dxfId="301" priority="54">
      <formula>AND(OR($F6="Higher the better", $F6="Higher the Better"), I7&lt;I6)</formula>
    </cfRule>
    <cfRule type="expression" dxfId="300" priority="55" stopIfTrue="1">
      <formula>AND(OR($F6="Higher the better", $F6="Higher the Better"), I7&gt;=I6)</formula>
    </cfRule>
  </conditionalFormatting>
  <conditionalFormatting sqref="I11:T11">
    <cfRule type="expression" dxfId="299" priority="62">
      <formula>AND(OR($F9="Lower the better", $F9="Lower the Better"), I11&lt;=I9)</formula>
    </cfRule>
    <cfRule type="expression" dxfId="298" priority="45" stopIfTrue="1">
      <formula>AND(OR($F10="Higher the better", $F10="Higher the Better"), I11&gt;=I10)</formula>
    </cfRule>
    <cfRule type="expression" dxfId="297" priority="64" stopIfTrue="1">
      <formula>AND(OR($F9="Higher the better", $F9="Higher the Better"), I11&gt;=I9)</formula>
    </cfRule>
    <cfRule type="expression" dxfId="296" priority="63">
      <formula>AND(OR($F9="Higher the better", $F9="Higher the Better"), I11&lt;I9)</formula>
    </cfRule>
    <cfRule type="expression" dxfId="295" priority="42">
      <formula>AND(OR($F10="Lower the better", $F10="Lower the Better"), I11&gt;I10)</formula>
    </cfRule>
    <cfRule type="expression" dxfId="294" priority="65">
      <formula>AND(OR($F9="Lower the better", $F9="Lower the Better"), I11&gt;I9)</formula>
    </cfRule>
    <cfRule type="expression" dxfId="293" priority="43">
      <formula>AND(OR($F10="Lower the better", $F10="Lower the Better"), I11&lt;=I10)</formula>
    </cfRule>
    <cfRule type="expression" dxfId="292" priority="44">
      <formula>AND(OR($F10="Higher the better", $F10="Higher the Better"), I11&lt;I10)</formula>
    </cfRule>
  </conditionalFormatting>
  <conditionalFormatting sqref="I15:T15 I17:T17 I19:T19 I21:T21 I23:T23">
    <cfRule type="containsBlanks" dxfId="291" priority="50">
      <formula>LEN(TRIM(I15))=0</formula>
    </cfRule>
  </conditionalFormatting>
  <conditionalFormatting sqref="I15:T15">
    <cfRule type="expression" dxfId="290" priority="58">
      <formula>AND(OR($F14="Higher the better", $F14="Higher the Better"), I15&lt;I14)</formula>
    </cfRule>
    <cfRule type="expression" dxfId="289" priority="56">
      <formula>AND(OR($F14="Lower the better", $F14="Lower the Better"), I15&gt;I14)</formula>
    </cfRule>
    <cfRule type="expression" dxfId="288" priority="57">
      <formula>AND(OR($F14="Lower the better", $F14="Lower the Better"), I15&lt;=I14)</formula>
    </cfRule>
    <cfRule type="expression" dxfId="287" priority="59" stopIfTrue="1">
      <formula>AND(OR($F14="Higher the better", $F14="Higher the Better"), I15&gt;=I14)</formula>
    </cfRule>
  </conditionalFormatting>
  <conditionalFormatting sqref="I17:T17 I19:T19 I21:T21 I23:T23 I7:T7 I9:T9">
    <cfRule type="expression" dxfId="286" priority="52">
      <formula>AND(OR($F6="Lower the better", $F6="Lower the Better"), I7&gt;I6)</formula>
    </cfRule>
  </conditionalFormatting>
  <conditionalFormatting sqref="M84:M88 M90:M103">
    <cfRule type="containsText" dxfId="285" priority="36" operator="containsText" text="No">
      <formula>NOT(ISERROR(SEARCH("No",M84)))</formula>
    </cfRule>
    <cfRule type="containsText" dxfId="284" priority="37" operator="containsText" text="Yes">
      <formula>NOT(ISERROR(SEARCH("Yes",M84)))</formula>
    </cfRule>
  </conditionalFormatting>
  <dataValidations count="7">
    <dataValidation type="list" allowBlank="1" showInputMessage="1" showErrorMessage="1" sqref="E6:E11 E14:E23" xr:uid="{8E82B812-C48B-4A8C-BAE1-0BD9622A0AD5}">
      <formula1>"%, Mn, No., "</formula1>
    </dataValidation>
    <dataValidation type="list" allowBlank="1" showInputMessage="1" showErrorMessage="1" sqref="B1:B2" xr:uid="{7C12DC2E-772A-465C-80F4-B21A364E5BC5}">
      <formula1>"Jan-2026, Feb-2026, Mar-2026, Apr-2026, May-2026, Jun-2026, Jul-2026, Aug-2026, Sep-2026, Oct-2026, Nov-2026, Dec-2026"</formula1>
    </dataValidation>
    <dataValidation type="list" allowBlank="1" showInputMessage="1" showErrorMessage="1" sqref="C6:C11 C14:C23" xr:uid="{819C1F08-E55B-4859-9785-B69CDA30F98B}">
      <formula1>"&gt;, &lt;, &gt;=, &lt;=, ="</formula1>
    </dataValidation>
    <dataValidation type="list" allowBlank="1" showInputMessage="1" showErrorMessage="1" sqref="G6:G11 G14:G23" xr:uid="{05FE1DDA-580F-4E97-A928-78FEF104CD6A}">
      <formula1>"Monthly, Quarterly, Half yearly"</formula1>
    </dataValidation>
    <dataValidation type="list" allowBlank="1" showInputMessage="1" showErrorMessage="1" sqref="F6:F11 F14:F23" xr:uid="{3D01BDFE-B96E-4671-AD53-A533BE42A07E}">
      <formula1>"Higher the better, Lower the better"</formula1>
    </dataValidation>
    <dataValidation type="list" allowBlank="1" showInputMessage="1" showErrorMessage="1" sqref="M92 M94 M84 M86 M88 M90" xr:uid="{5D9CD315-7823-4B38-B098-F21CDA87467F}">
      <formula1>"Yes, No"</formula1>
    </dataValidation>
    <dataValidation type="list" allowBlank="1" showInputMessage="1" showErrorMessage="1" sqref="F99 F115 F91 F93 F95 F85 F83 F101 F89 F87 G98 F113 G90 F111 F109 G88 F103 G86 F97 G84 F105 F107" xr:uid="{7F08942C-B30C-4197-A5D0-3855928B7723}">
      <formula1>"1,2,3,4,5"</formula1>
    </dataValidation>
  </dataValidations>
  <pageMargins left="0.7" right="0.7" top="0.75" bottom="0.75" header="0.3" footer="0.3"/>
  <pageSetup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955BC-962D-4429-990C-9153780724ED}">
  <sheetPr codeName="Sheet12"/>
  <dimension ref="A1:AI130"/>
  <sheetViews>
    <sheetView topLeftCell="B1" zoomScale="110" zoomScaleNormal="110" workbookViewId="0">
      <pane xSplit="7" ySplit="5" topLeftCell="N8" activePane="bottomRight" state="frozen"/>
      <selection pane="bottomRight" activeCell="C120" sqref="C120"/>
      <selection pane="bottomLeft" activeCell="B6" sqref="B6"/>
      <selection pane="topRight" activeCell="I1" sqref="I1"/>
    </sheetView>
  </sheetViews>
  <sheetFormatPr defaultColWidth="8.42578125" defaultRowHeight="14.45"/>
  <cols>
    <col min="1" max="1" width="23.42578125" style="53" customWidth="1"/>
    <col min="2" max="2" width="32" style="52" customWidth="1"/>
    <col min="3" max="3" width="27.140625" style="53" customWidth="1"/>
    <col min="4" max="4" width="12.140625" style="53" customWidth="1"/>
    <col min="5" max="5" width="16.140625" style="53" customWidth="1"/>
    <col min="6" max="6" width="13.42578125" style="53" bestFit="1" customWidth="1"/>
    <col min="7" max="7" width="10.85546875" style="53" bestFit="1" customWidth="1"/>
    <col min="8" max="8" width="14.42578125" style="53" customWidth="1"/>
    <col min="9" max="9" width="16" style="53" bestFit="1" customWidth="1"/>
    <col min="10" max="10" width="14.85546875" style="53" bestFit="1" customWidth="1"/>
    <col min="11" max="12" width="18.42578125" style="53" bestFit="1" customWidth="1"/>
    <col min="13" max="13" width="15.85546875" style="53" bestFit="1" customWidth="1"/>
    <col min="14" max="14" width="14.42578125" style="53" bestFit="1" customWidth="1"/>
    <col min="15" max="15" width="11" style="53" bestFit="1" customWidth="1"/>
    <col min="16" max="16" width="17.42578125" style="53" customWidth="1"/>
    <col min="17" max="20" width="14.42578125" style="53" customWidth="1"/>
    <col min="21" max="21" width="13.42578125" style="53" customWidth="1"/>
    <col min="22" max="22" width="17.42578125" style="53" customWidth="1"/>
    <col min="23" max="24" width="8.42578125" style="53" hidden="1" customWidth="1"/>
    <col min="25" max="25" width="14.42578125" style="53" hidden="1" customWidth="1"/>
    <col min="26" max="35" width="8.42578125" style="53" hidden="1" customWidth="1"/>
    <col min="36" max="49" width="8.42578125" style="53" customWidth="1"/>
    <col min="50" max="16384" width="8.42578125" style="53"/>
  </cols>
  <sheetData>
    <row r="1" spans="1:35">
      <c r="A1" s="93" t="s">
        <v>0</v>
      </c>
      <c r="B1" s="94">
        <v>46023</v>
      </c>
      <c r="C1" s="93" t="s">
        <v>88</v>
      </c>
      <c r="D1" s="95" t="s">
        <v>39</v>
      </c>
      <c r="E1" s="93" t="s">
        <v>89</v>
      </c>
      <c r="F1" s="95" t="s">
        <v>482</v>
      </c>
      <c r="W1" s="53" t="s">
        <v>90</v>
      </c>
      <c r="X1" s="53">
        <f>IF(I15&lt;&gt;"",IF($F14="Higher the better",IF(I15&gt;=I14,I15,NA()),IF(I15&lt;=I14,I15,NA())),NA())</f>
        <v>90</v>
      </c>
      <c r="Y1" s="53">
        <f t="shared" ref="Y1:AI1" si="0">IF(J15&lt;&gt;"",IF($F14="Higher the better",IF(J15&gt;=J14,J15,NA()),IF(J15&lt;=J14,J15,NA())),NA())</f>
        <v>90</v>
      </c>
      <c r="Z1" s="53">
        <f t="shared" si="0"/>
        <v>80</v>
      </c>
      <c r="AA1" s="53">
        <f t="shared" si="0"/>
        <v>100</v>
      </c>
      <c r="AB1" s="53">
        <f t="shared" si="0"/>
        <v>90</v>
      </c>
      <c r="AC1" s="53">
        <f t="shared" si="0"/>
        <v>83</v>
      </c>
      <c r="AD1" s="53" t="e">
        <f t="shared" si="0"/>
        <v>#N/A</v>
      </c>
      <c r="AE1" s="53" t="e">
        <f t="shared" si="0"/>
        <v>#N/A</v>
      </c>
      <c r="AF1" s="53" t="e">
        <f t="shared" si="0"/>
        <v>#N/A</v>
      </c>
      <c r="AG1" s="53" t="e">
        <f t="shared" si="0"/>
        <v>#N/A</v>
      </c>
      <c r="AH1" s="53" t="e">
        <f t="shared" si="0"/>
        <v>#N/A</v>
      </c>
      <c r="AI1" s="53" t="e">
        <f t="shared" si="0"/>
        <v>#N/A</v>
      </c>
    </row>
    <row r="2" spans="1:35" ht="19.5" hidden="1" customHeight="1">
      <c r="A2" s="96"/>
      <c r="B2" s="97"/>
      <c r="D2" s="96"/>
      <c r="E2" s="96"/>
      <c r="W2" s="53" t="s">
        <v>91</v>
      </c>
      <c r="X2" s="53" t="e">
        <f>IF(I15&lt;&gt;"",IF($F14="Higher the better",IF(I15&lt;I14,I15,NA()),IF(I15&gt;I14,I15,NA())),NA())</f>
        <v>#N/A</v>
      </c>
      <c r="Y2" s="53" t="e">
        <f t="shared" ref="Y2:AI2" si="1">IF(J15&lt;&gt;"",IF($F14="Higher the better",IF(J15&lt;J14,J15,NA()),IF(J15&gt;J14,J15,NA())),NA())</f>
        <v>#N/A</v>
      </c>
      <c r="Z2" s="53" t="e">
        <f t="shared" si="1"/>
        <v>#N/A</v>
      </c>
      <c r="AA2" s="53" t="e">
        <f t="shared" si="1"/>
        <v>#N/A</v>
      </c>
      <c r="AB2" s="53" t="e">
        <f t="shared" si="1"/>
        <v>#N/A</v>
      </c>
      <c r="AC2" s="53" t="e">
        <f t="shared" si="1"/>
        <v>#N/A</v>
      </c>
      <c r="AD2" s="53" t="e">
        <f t="shared" si="1"/>
        <v>#N/A</v>
      </c>
      <c r="AE2" s="53" t="e">
        <f t="shared" si="1"/>
        <v>#N/A</v>
      </c>
      <c r="AF2" s="53" t="e">
        <f t="shared" si="1"/>
        <v>#N/A</v>
      </c>
      <c r="AG2" s="53" t="e">
        <f t="shared" si="1"/>
        <v>#N/A</v>
      </c>
      <c r="AH2" s="53" t="e">
        <f t="shared" si="1"/>
        <v>#N/A</v>
      </c>
      <c r="AI2" s="53" t="e">
        <f t="shared" si="1"/>
        <v>#N/A</v>
      </c>
    </row>
    <row r="3" spans="1:35" ht="21">
      <c r="A3" s="534" t="s">
        <v>483</v>
      </c>
      <c r="B3" s="534"/>
      <c r="W3" s="53" t="s">
        <v>90</v>
      </c>
      <c r="X3" s="53" t="e">
        <f t="shared" ref="X3:AI3" si="2">IF(I17&lt;&gt;"",IF($F16="Higher the better",IF(I17&gt;=I16,I17,NA()),IF(I17&lt;=I16,I17,NA())),NA())</f>
        <v>#N/A</v>
      </c>
      <c r="Y3" s="53">
        <f t="shared" si="2"/>
        <v>86</v>
      </c>
      <c r="Z3" s="53">
        <f t="shared" si="2"/>
        <v>84</v>
      </c>
      <c r="AA3" s="53">
        <f t="shared" si="2"/>
        <v>92</v>
      </c>
      <c r="AB3" s="53">
        <f t="shared" si="2"/>
        <v>87</v>
      </c>
      <c r="AC3" s="53">
        <f t="shared" si="2"/>
        <v>88</v>
      </c>
      <c r="AD3" s="53" t="e">
        <f t="shared" si="2"/>
        <v>#N/A</v>
      </c>
      <c r="AE3" s="53" t="e">
        <f t="shared" si="2"/>
        <v>#N/A</v>
      </c>
      <c r="AF3" s="53" t="e">
        <f t="shared" si="2"/>
        <v>#N/A</v>
      </c>
      <c r="AG3" s="53" t="e">
        <f t="shared" si="2"/>
        <v>#N/A</v>
      </c>
      <c r="AH3" s="53" t="e">
        <f t="shared" si="2"/>
        <v>#N/A</v>
      </c>
      <c r="AI3" s="53" t="e">
        <f t="shared" si="2"/>
        <v>#N/A</v>
      </c>
    </row>
    <row r="4" spans="1:35" ht="18.75" customHeight="1">
      <c r="A4" s="98" t="s">
        <v>93</v>
      </c>
      <c r="B4" s="98"/>
      <c r="W4" s="53" t="s">
        <v>91</v>
      </c>
      <c r="X4" s="53">
        <f t="shared" ref="X4:AI4" si="3">IF(I17&lt;&gt;"",IF($F16="Higher the better",IF(I17&lt;I16,I17,NA()),IF(I17&gt;I16,I17,NA())),NA())</f>
        <v>0</v>
      </c>
      <c r="Y4" s="53" t="e">
        <f t="shared" si="3"/>
        <v>#N/A</v>
      </c>
      <c r="Z4" s="53" t="e">
        <f t="shared" si="3"/>
        <v>#N/A</v>
      </c>
      <c r="AA4" s="53" t="e">
        <f t="shared" si="3"/>
        <v>#N/A</v>
      </c>
      <c r="AB4" s="53" t="e">
        <f t="shared" si="3"/>
        <v>#N/A</v>
      </c>
      <c r="AC4" s="53" t="e">
        <f t="shared" si="3"/>
        <v>#N/A</v>
      </c>
      <c r="AD4" s="53" t="e">
        <f t="shared" si="3"/>
        <v>#N/A</v>
      </c>
      <c r="AE4" s="53" t="e">
        <f t="shared" si="3"/>
        <v>#N/A</v>
      </c>
      <c r="AF4" s="53" t="e">
        <f t="shared" si="3"/>
        <v>#N/A</v>
      </c>
      <c r="AG4" s="53" t="e">
        <f t="shared" si="3"/>
        <v>#N/A</v>
      </c>
      <c r="AH4" s="53" t="e">
        <f t="shared" si="3"/>
        <v>#N/A</v>
      </c>
      <c r="AI4" s="53" t="e">
        <f t="shared" si="3"/>
        <v>#N/A</v>
      </c>
    </row>
    <row r="5" spans="1:35" ht="29.25"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s="53" t="s">
        <v>90</v>
      </c>
      <c r="X5" s="53">
        <f t="shared" ref="X5:AI5" si="4">IF(I19&lt;&gt;"",IF($F18="Higher the better",IF(I19&gt;=I18,I19,NA()),IF(I19&lt;=I18,I19,NA())),NA())</f>
        <v>100</v>
      </c>
      <c r="Y5" s="53">
        <f t="shared" si="4"/>
        <v>100</v>
      </c>
      <c r="Z5" s="53" t="e">
        <f t="shared" si="4"/>
        <v>#N/A</v>
      </c>
      <c r="AA5" s="53">
        <f t="shared" si="4"/>
        <v>100</v>
      </c>
      <c r="AB5" s="53">
        <f t="shared" si="4"/>
        <v>100</v>
      </c>
      <c r="AC5" s="53">
        <f t="shared" si="4"/>
        <v>89</v>
      </c>
      <c r="AD5" s="53" t="e">
        <f t="shared" si="4"/>
        <v>#N/A</v>
      </c>
      <c r="AE5" s="53" t="e">
        <f t="shared" si="4"/>
        <v>#N/A</v>
      </c>
      <c r="AF5" s="53" t="e">
        <f t="shared" si="4"/>
        <v>#N/A</v>
      </c>
      <c r="AG5" s="53" t="e">
        <f t="shared" si="4"/>
        <v>#N/A</v>
      </c>
      <c r="AH5" s="53" t="e">
        <f t="shared" si="4"/>
        <v>#N/A</v>
      </c>
      <c r="AI5" s="53" t="e">
        <f t="shared" si="4"/>
        <v>#N/A</v>
      </c>
    </row>
    <row r="6" spans="1:35" ht="18" customHeight="1">
      <c r="A6" s="348" t="s">
        <v>484</v>
      </c>
      <c r="B6" s="354" t="s">
        <v>485</v>
      </c>
      <c r="C6" s="328" t="s">
        <v>97</v>
      </c>
      <c r="D6" s="535">
        <v>0.4</v>
      </c>
      <c r="E6" s="328" t="s">
        <v>98</v>
      </c>
      <c r="F6" s="336" t="s">
        <v>99</v>
      </c>
      <c r="G6" s="328" t="s">
        <v>55</v>
      </c>
      <c r="H6" s="14" t="s">
        <v>29</v>
      </c>
      <c r="I6" s="4">
        <v>0.4</v>
      </c>
      <c r="J6" s="4">
        <v>0.4</v>
      </c>
      <c r="K6" s="4">
        <v>0.4</v>
      </c>
      <c r="L6" s="4">
        <v>0.4</v>
      </c>
      <c r="M6" s="4">
        <v>0.4</v>
      </c>
      <c r="N6" s="4">
        <v>0.4</v>
      </c>
      <c r="O6" s="4">
        <v>0.4</v>
      </c>
      <c r="P6" s="4">
        <v>0.4</v>
      </c>
      <c r="Q6" s="4">
        <v>0.4</v>
      </c>
      <c r="R6" s="4">
        <v>0.4</v>
      </c>
      <c r="S6" s="4">
        <v>0.4</v>
      </c>
      <c r="T6" s="4">
        <v>0.4</v>
      </c>
      <c r="W6" s="53" t="s">
        <v>91</v>
      </c>
      <c r="X6" s="53" t="e">
        <f t="shared" ref="X6:AI6" si="5">IF(I19&lt;&gt;"",IF($F18="Higher the better",IF(I19&lt;I18,I19,NA()),IF(I19&gt;I18,I19,NA())),NA())</f>
        <v>#N/A</v>
      </c>
      <c r="Y6" s="53" t="e">
        <f t="shared" si="5"/>
        <v>#N/A</v>
      </c>
      <c r="Z6" s="53">
        <f t="shared" si="5"/>
        <v>60</v>
      </c>
      <c r="AA6" s="53" t="e">
        <f t="shared" si="5"/>
        <v>#N/A</v>
      </c>
      <c r="AB6" s="53" t="e">
        <f t="shared" si="5"/>
        <v>#N/A</v>
      </c>
      <c r="AC6" s="53" t="e">
        <f t="shared" si="5"/>
        <v>#N/A</v>
      </c>
      <c r="AD6" s="53" t="e">
        <f t="shared" si="5"/>
        <v>#N/A</v>
      </c>
      <c r="AE6" s="53" t="e">
        <f t="shared" si="5"/>
        <v>#N/A</v>
      </c>
      <c r="AF6" s="53" t="e">
        <f t="shared" si="5"/>
        <v>#N/A</v>
      </c>
      <c r="AG6" s="53" t="e">
        <f t="shared" si="5"/>
        <v>#N/A</v>
      </c>
      <c r="AH6" s="53" t="e">
        <f t="shared" si="5"/>
        <v>#N/A</v>
      </c>
      <c r="AI6" s="53" t="e">
        <f t="shared" si="5"/>
        <v>#N/A</v>
      </c>
    </row>
    <row r="7" spans="1:35">
      <c r="A7" s="348"/>
      <c r="B7" s="354"/>
      <c r="C7" s="328"/>
      <c r="D7" s="535"/>
      <c r="E7" s="328"/>
      <c r="F7" s="336"/>
      <c r="G7" s="328"/>
      <c r="H7" s="14" t="s">
        <v>30</v>
      </c>
      <c r="I7" s="5">
        <v>0.28000000000000003</v>
      </c>
      <c r="J7" s="5">
        <v>0.39</v>
      </c>
      <c r="K7" s="5">
        <v>0.42</v>
      </c>
      <c r="L7" s="5">
        <v>0.37109999999999999</v>
      </c>
      <c r="M7" s="5">
        <v>0.34599999999999997</v>
      </c>
      <c r="N7" s="5">
        <v>0.373</v>
      </c>
      <c r="O7" s="5"/>
      <c r="P7" s="5"/>
      <c r="Q7" s="5"/>
      <c r="R7" s="5"/>
      <c r="S7" s="5"/>
      <c r="T7" s="5"/>
    </row>
    <row r="8" spans="1:35">
      <c r="A8" s="354" t="s">
        <v>486</v>
      </c>
      <c r="B8" s="354" t="s">
        <v>487</v>
      </c>
      <c r="C8" s="328" t="s">
        <v>97</v>
      </c>
      <c r="D8" s="535">
        <v>0.88</v>
      </c>
      <c r="E8" s="328" t="s">
        <v>98</v>
      </c>
      <c r="F8" s="336" t="s">
        <v>99</v>
      </c>
      <c r="G8" s="328" t="s">
        <v>55</v>
      </c>
      <c r="H8" s="14" t="s">
        <v>29</v>
      </c>
      <c r="I8" s="4">
        <v>0</v>
      </c>
      <c r="J8" s="4">
        <v>0</v>
      </c>
      <c r="K8" s="216">
        <v>0.11160714285714286</v>
      </c>
      <c r="L8" s="4">
        <v>0.17261904761904762</v>
      </c>
      <c r="M8" s="4">
        <v>0.23660714285714285</v>
      </c>
      <c r="N8" s="4">
        <v>0.31547619047619047</v>
      </c>
      <c r="O8" s="4">
        <v>0.40625</v>
      </c>
      <c r="P8" s="4">
        <v>0.50297619047619047</v>
      </c>
      <c r="Q8" s="4">
        <v>0.60565476190476186</v>
      </c>
      <c r="R8" s="4">
        <v>0.71726190476190477</v>
      </c>
      <c r="S8" s="4">
        <v>0.8214285714285714</v>
      </c>
      <c r="T8" s="4">
        <v>0.87648809523809523</v>
      </c>
    </row>
    <row r="9" spans="1:35">
      <c r="A9" s="354"/>
      <c r="B9" s="354"/>
      <c r="C9" s="328"/>
      <c r="D9" s="535"/>
      <c r="E9" s="328"/>
      <c r="F9" s="336"/>
      <c r="G9" s="328"/>
      <c r="H9" s="14" t="s">
        <v>30</v>
      </c>
      <c r="I9" s="45"/>
      <c r="J9" s="45"/>
      <c r="K9" s="125">
        <v>0.112</v>
      </c>
      <c r="L9" s="5">
        <v>0.16</v>
      </c>
      <c r="M9" s="5">
        <v>0.21</v>
      </c>
      <c r="N9" s="5">
        <v>0.23</v>
      </c>
      <c r="O9" s="45"/>
      <c r="P9" s="45"/>
      <c r="Q9" s="45"/>
      <c r="R9" s="45"/>
      <c r="S9" s="45"/>
      <c r="T9" s="45"/>
    </row>
    <row r="10" spans="1:35">
      <c r="A10" s="435" t="s">
        <v>488</v>
      </c>
      <c r="B10" s="343" t="s">
        <v>489</v>
      </c>
      <c r="C10" s="328" t="s">
        <v>97</v>
      </c>
      <c r="D10" s="536">
        <v>0.8</v>
      </c>
      <c r="E10" s="328" t="s">
        <v>98</v>
      </c>
      <c r="F10" s="336" t="s">
        <v>99</v>
      </c>
      <c r="G10" s="328" t="s">
        <v>55</v>
      </c>
      <c r="H10" s="14" t="s">
        <v>29</v>
      </c>
      <c r="I10" s="51"/>
      <c r="J10" s="51"/>
      <c r="K10" s="4">
        <v>0.8</v>
      </c>
      <c r="L10" s="4">
        <v>0.8</v>
      </c>
      <c r="M10" s="4">
        <v>0.8</v>
      </c>
      <c r="N10" s="4">
        <v>0.8</v>
      </c>
      <c r="O10" s="4">
        <v>0.8</v>
      </c>
      <c r="P10" s="4">
        <v>0.8</v>
      </c>
      <c r="Q10" s="4">
        <v>0.8</v>
      </c>
      <c r="R10" s="4">
        <v>0.8</v>
      </c>
      <c r="S10" s="4">
        <v>0.8</v>
      </c>
      <c r="T10" s="4">
        <v>0.8</v>
      </c>
    </row>
    <row r="11" spans="1:35">
      <c r="A11" s="435"/>
      <c r="B11" s="343"/>
      <c r="C11" s="328"/>
      <c r="D11" s="536"/>
      <c r="E11" s="328"/>
      <c r="F11" s="336"/>
      <c r="G11" s="328"/>
      <c r="H11" s="14" t="s">
        <v>30</v>
      </c>
      <c r="I11" s="67"/>
      <c r="J11" s="67"/>
      <c r="K11" s="125">
        <v>0.82699999999999996</v>
      </c>
      <c r="L11" s="313">
        <v>0.81799999999999995</v>
      </c>
      <c r="M11" s="125">
        <v>0.82399999999999995</v>
      </c>
      <c r="N11" s="5">
        <v>0.81499999999999995</v>
      </c>
      <c r="O11" s="45"/>
      <c r="P11" s="45"/>
      <c r="Q11" s="45"/>
      <c r="R11" s="45"/>
      <c r="S11" s="45"/>
      <c r="T11" s="45"/>
    </row>
    <row r="12" spans="1:35" ht="18.600000000000001">
      <c r="A12" s="99" t="s">
        <v>112</v>
      </c>
      <c r="G12" s="100"/>
      <c r="I12" s="170"/>
      <c r="J12" s="101"/>
      <c r="K12" s="101"/>
      <c r="L12" s="101"/>
      <c r="M12" s="101"/>
      <c r="N12" s="101"/>
      <c r="O12" s="101"/>
      <c r="P12" s="101"/>
      <c r="Q12" s="101"/>
      <c r="R12" s="101"/>
      <c r="S12" s="101"/>
      <c r="T12" s="101"/>
    </row>
    <row r="13" spans="1:35" ht="27.75"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3.5" customHeight="1">
      <c r="A14" s="348" t="s">
        <v>490</v>
      </c>
      <c r="B14" s="343" t="s">
        <v>491</v>
      </c>
      <c r="C14" s="328" t="s">
        <v>97</v>
      </c>
      <c r="D14" s="336">
        <v>80</v>
      </c>
      <c r="E14" s="328" t="s">
        <v>98</v>
      </c>
      <c r="F14" s="336" t="s">
        <v>99</v>
      </c>
      <c r="G14" s="328" t="s">
        <v>55</v>
      </c>
      <c r="H14" s="14" t="s">
        <v>29</v>
      </c>
      <c r="I14" s="47">
        <v>80</v>
      </c>
      <c r="J14" s="47">
        <v>80</v>
      </c>
      <c r="K14" s="47">
        <v>80</v>
      </c>
      <c r="L14" s="47">
        <v>80</v>
      </c>
      <c r="M14" s="47">
        <v>80</v>
      </c>
      <c r="N14" s="47">
        <v>80</v>
      </c>
      <c r="O14" s="47">
        <v>80</v>
      </c>
      <c r="P14" s="47">
        <v>80</v>
      </c>
      <c r="Q14" s="47">
        <v>80</v>
      </c>
      <c r="R14" s="47">
        <v>80</v>
      </c>
      <c r="S14" s="47">
        <v>80</v>
      </c>
      <c r="T14" s="47">
        <v>80</v>
      </c>
    </row>
    <row r="15" spans="1:35">
      <c r="A15" s="348"/>
      <c r="B15" s="343"/>
      <c r="C15" s="328"/>
      <c r="D15" s="336"/>
      <c r="E15" s="328"/>
      <c r="F15" s="336"/>
      <c r="G15" s="328"/>
      <c r="H15" s="14" t="s">
        <v>30</v>
      </c>
      <c r="I15" s="179">
        <v>90</v>
      </c>
      <c r="J15" s="179">
        <v>90</v>
      </c>
      <c r="K15" s="179">
        <v>80</v>
      </c>
      <c r="L15" s="179">
        <v>100</v>
      </c>
      <c r="M15" s="179">
        <v>90</v>
      </c>
      <c r="N15" s="179">
        <v>83</v>
      </c>
      <c r="O15" s="179"/>
      <c r="P15" s="179"/>
      <c r="Q15" s="179"/>
      <c r="R15" s="179"/>
      <c r="S15" s="179"/>
      <c r="T15" s="179"/>
    </row>
    <row r="16" spans="1:35">
      <c r="A16" s="348" t="s">
        <v>492</v>
      </c>
      <c r="B16" s="538" t="s">
        <v>493</v>
      </c>
      <c r="C16" s="328" t="s">
        <v>97</v>
      </c>
      <c r="D16" s="485">
        <v>80</v>
      </c>
      <c r="E16" s="328" t="s">
        <v>98</v>
      </c>
      <c r="F16" s="336" t="s">
        <v>99</v>
      </c>
      <c r="G16" s="328" t="s">
        <v>55</v>
      </c>
      <c r="H16" s="14" t="s">
        <v>29</v>
      </c>
      <c r="I16" s="44">
        <v>80</v>
      </c>
      <c r="J16" s="44">
        <v>80</v>
      </c>
      <c r="K16" s="44">
        <v>80</v>
      </c>
      <c r="L16" s="44">
        <v>80</v>
      </c>
      <c r="M16" s="44">
        <v>80</v>
      </c>
      <c r="N16" s="44">
        <v>80</v>
      </c>
      <c r="O16" s="44">
        <v>80</v>
      </c>
      <c r="P16" s="44">
        <v>80</v>
      </c>
      <c r="Q16" s="44">
        <v>80</v>
      </c>
      <c r="R16" s="44">
        <v>80</v>
      </c>
      <c r="S16" s="44">
        <v>80</v>
      </c>
      <c r="T16" s="44">
        <v>80</v>
      </c>
    </row>
    <row r="17" spans="1:20">
      <c r="A17" s="348"/>
      <c r="B17" s="538"/>
      <c r="C17" s="328"/>
      <c r="D17" s="485"/>
      <c r="E17" s="328"/>
      <c r="F17" s="336"/>
      <c r="G17" s="328"/>
      <c r="H17" s="14" t="s">
        <v>30</v>
      </c>
      <c r="I17" s="45">
        <v>0</v>
      </c>
      <c r="J17" s="45">
        <v>86</v>
      </c>
      <c r="K17" s="45">
        <v>84</v>
      </c>
      <c r="L17" s="45">
        <v>92</v>
      </c>
      <c r="M17" s="45">
        <v>87</v>
      </c>
      <c r="N17" s="45">
        <v>88</v>
      </c>
      <c r="O17" s="45"/>
      <c r="P17" s="45"/>
      <c r="Q17" s="45"/>
      <c r="R17" s="45"/>
      <c r="S17" s="45"/>
      <c r="T17" s="45"/>
    </row>
    <row r="18" spans="1:20" ht="13.5" customHeight="1">
      <c r="A18" s="354" t="s">
        <v>494</v>
      </c>
      <c r="B18" s="537" t="s">
        <v>495</v>
      </c>
      <c r="C18" s="328" t="s">
        <v>97</v>
      </c>
      <c r="D18" s="328">
        <v>80</v>
      </c>
      <c r="E18" s="328" t="s">
        <v>98</v>
      </c>
      <c r="F18" s="336" t="s">
        <v>99</v>
      </c>
      <c r="G18" s="328" t="s">
        <v>55</v>
      </c>
      <c r="H18" s="14" t="s">
        <v>29</v>
      </c>
      <c r="I18" s="44">
        <v>80</v>
      </c>
      <c r="J18" s="44">
        <v>80</v>
      </c>
      <c r="K18" s="44">
        <v>80</v>
      </c>
      <c r="L18" s="44">
        <v>80</v>
      </c>
      <c r="M18" s="44">
        <v>80</v>
      </c>
      <c r="N18" s="44">
        <v>80</v>
      </c>
      <c r="O18" s="44">
        <v>80</v>
      </c>
      <c r="P18" s="44">
        <v>80</v>
      </c>
      <c r="Q18" s="44">
        <v>80</v>
      </c>
      <c r="R18" s="44">
        <v>80</v>
      </c>
      <c r="S18" s="44">
        <v>80</v>
      </c>
      <c r="T18" s="44">
        <v>80</v>
      </c>
    </row>
    <row r="19" spans="1:20" ht="24.75" customHeight="1">
      <c r="A19" s="354"/>
      <c r="B19" s="537"/>
      <c r="C19" s="328"/>
      <c r="D19" s="328"/>
      <c r="E19" s="328"/>
      <c r="F19" s="336"/>
      <c r="G19" s="328"/>
      <c r="H19" s="14" t="s">
        <v>30</v>
      </c>
      <c r="I19" s="45">
        <v>100</v>
      </c>
      <c r="J19" s="45">
        <v>100</v>
      </c>
      <c r="K19" s="45">
        <v>60</v>
      </c>
      <c r="L19" s="45">
        <v>100</v>
      </c>
      <c r="M19" s="45">
        <v>100</v>
      </c>
      <c r="N19" s="45">
        <v>89</v>
      </c>
      <c r="O19" s="45"/>
      <c r="P19" s="45"/>
      <c r="Q19" s="45"/>
      <c r="R19" s="45"/>
      <c r="S19" s="45"/>
      <c r="T19" s="45"/>
    </row>
    <row r="20" spans="1:20" hidden="1">
      <c r="A20" s="354"/>
      <c r="B20" s="496"/>
      <c r="C20" s="328"/>
      <c r="D20" s="328"/>
      <c r="E20" s="328"/>
      <c r="F20" s="336"/>
      <c r="G20" s="328"/>
      <c r="H20" s="14"/>
      <c r="I20" s="44"/>
      <c r="J20" s="44"/>
      <c r="K20" s="44"/>
      <c r="L20" s="44"/>
      <c r="M20" s="44"/>
      <c r="N20" s="44"/>
      <c r="O20" s="44"/>
      <c r="P20" s="44"/>
      <c r="Q20" s="44"/>
      <c r="R20" s="44"/>
      <c r="S20" s="44"/>
      <c r="T20" s="44"/>
    </row>
    <row r="21" spans="1:20" ht="22.5" hidden="1" customHeight="1">
      <c r="A21" s="354"/>
      <c r="B21" s="496"/>
      <c r="C21" s="328"/>
      <c r="D21" s="328"/>
      <c r="E21" s="328"/>
      <c r="F21" s="336"/>
      <c r="G21" s="328"/>
      <c r="H21" s="14"/>
      <c r="I21" s="45"/>
      <c r="J21" s="45"/>
      <c r="K21" s="45"/>
      <c r="L21" s="45"/>
      <c r="M21" s="45"/>
      <c r="N21" s="45"/>
      <c r="O21" s="45"/>
      <c r="P21" s="45"/>
      <c r="Q21" s="45"/>
      <c r="R21" s="45"/>
      <c r="S21" s="45"/>
      <c r="T21" s="45"/>
    </row>
    <row r="22" spans="1:20" hidden="1">
      <c r="A22" s="348"/>
      <c r="B22" s="496"/>
      <c r="C22" s="328"/>
      <c r="D22" s="336"/>
      <c r="E22" s="328"/>
      <c r="F22" s="336"/>
      <c r="G22" s="328"/>
      <c r="H22" s="14"/>
      <c r="I22" s="44"/>
      <c r="J22" s="44"/>
      <c r="K22" s="44"/>
      <c r="L22" s="44"/>
      <c r="M22" s="44"/>
      <c r="N22" s="44"/>
      <c r="O22" s="44"/>
      <c r="P22" s="44"/>
      <c r="Q22" s="44"/>
      <c r="R22" s="44"/>
      <c r="S22" s="44"/>
      <c r="T22" s="44"/>
    </row>
    <row r="23" spans="1:20" hidden="1">
      <c r="A23" s="348"/>
      <c r="B23" s="496"/>
      <c r="C23" s="328"/>
      <c r="D23" s="336"/>
      <c r="E23" s="328"/>
      <c r="F23" s="336"/>
      <c r="G23" s="328"/>
      <c r="H23" s="14"/>
      <c r="I23" s="45"/>
      <c r="J23" s="45"/>
      <c r="K23" s="45"/>
      <c r="L23" s="45"/>
      <c r="M23" s="45"/>
      <c r="N23" s="45"/>
      <c r="O23" s="45"/>
      <c r="P23" s="45"/>
      <c r="Q23" s="45"/>
      <c r="R23" s="45"/>
      <c r="S23" s="45"/>
      <c r="T23" s="45"/>
    </row>
    <row r="24" spans="1:20" ht="15" customHeight="1">
      <c r="E24" s="102" t="s">
        <v>86</v>
      </c>
      <c r="H24" s="103" t="str">
        <f>IF(OR($F15="Lower the better",$F15="Lower the Better"),
    IF(I15&gt;I14,$A14,""),
    IF(OR($F15="Higher the better",$F15="Higher the Better"),
       IF(I15&lt;I14,$A14,""),
       ""
    )
)</f>
        <v/>
      </c>
    </row>
    <row r="25" spans="1:20" ht="21">
      <c r="A25" s="104" t="s">
        <v>217</v>
      </c>
      <c r="B25" s="53"/>
    </row>
    <row r="26" spans="1:20">
      <c r="A26" s="52"/>
      <c r="B26" s="53"/>
      <c r="L26" s="231"/>
    </row>
    <row r="27" spans="1:20">
      <c r="A27" s="52"/>
      <c r="B27" s="53"/>
    </row>
    <row r="28" spans="1:20">
      <c r="A28" s="52"/>
      <c r="B28" s="53"/>
    </row>
    <row r="29" spans="1:20">
      <c r="A29" s="52"/>
      <c r="B29" s="53"/>
    </row>
    <row r="30" spans="1:20">
      <c r="A30" s="52"/>
      <c r="B30" s="53"/>
    </row>
    <row r="31" spans="1:20">
      <c r="A31" s="52"/>
      <c r="B31" s="53"/>
    </row>
    <row r="32" spans="1:20">
      <c r="A32" s="52"/>
      <c r="B32" s="53"/>
    </row>
    <row r="33" spans="1:8">
      <c r="A33" s="52"/>
      <c r="B33" s="53"/>
    </row>
    <row r="34" spans="1:8">
      <c r="A34" s="52"/>
      <c r="B34" s="53"/>
    </row>
    <row r="35" spans="1:8">
      <c r="A35" s="52"/>
      <c r="B35" s="53"/>
    </row>
    <row r="36" spans="1:8">
      <c r="A36" s="52"/>
      <c r="B36" s="53"/>
    </row>
    <row r="37" spans="1:8">
      <c r="A37" s="52"/>
      <c r="B37" s="53"/>
    </row>
    <row r="38" spans="1:8">
      <c r="A38" s="52"/>
      <c r="B38" s="53"/>
    </row>
    <row r="39" spans="1:8">
      <c r="A39" s="52"/>
      <c r="B39" s="53"/>
    </row>
    <row r="40" spans="1:8">
      <c r="A40" s="52"/>
      <c r="B40" s="53"/>
    </row>
    <row r="41" spans="1:8">
      <c r="A41" s="52"/>
      <c r="B41" s="53"/>
    </row>
    <row r="42" spans="1:8" ht="21">
      <c r="A42" s="539" t="s">
        <v>123</v>
      </c>
      <c r="B42" s="539"/>
      <c r="C42" s="539"/>
      <c r="D42" s="539"/>
      <c r="E42" s="539"/>
    </row>
    <row r="43" spans="1:8">
      <c r="C43" s="52"/>
      <c r="D43" s="52"/>
      <c r="E43" s="52"/>
      <c r="F43" s="52"/>
      <c r="G43" s="52"/>
      <c r="H43" s="52"/>
    </row>
    <row r="44" spans="1:8">
      <c r="A44" s="52"/>
      <c r="B44" s="53"/>
    </row>
    <row r="45" spans="1:8" ht="21">
      <c r="A45" s="534" t="s">
        <v>124</v>
      </c>
      <c r="B45" s="534"/>
    </row>
    <row r="46" spans="1:8" ht="20.25" customHeight="1">
      <c r="A46" s="226" t="s">
        <v>125</v>
      </c>
      <c r="B46" s="359" t="s">
        <v>126</v>
      </c>
      <c r="C46" s="359"/>
      <c r="D46" s="359"/>
      <c r="E46" s="359"/>
      <c r="F46" s="359"/>
    </row>
    <row r="47" spans="1:8" ht="15" customHeight="1">
      <c r="A47" s="25" t="s">
        <v>136</v>
      </c>
      <c r="B47" s="25" t="s">
        <v>127</v>
      </c>
      <c r="C47" s="25" t="s">
        <v>128</v>
      </c>
      <c r="D47" s="25" t="s">
        <v>129</v>
      </c>
      <c r="E47" s="25" t="s">
        <v>130</v>
      </c>
      <c r="F47" s="25" t="s">
        <v>131</v>
      </c>
    </row>
    <row r="48" spans="1:8" ht="30" customHeight="1">
      <c r="A48" s="228" t="s">
        <v>496</v>
      </c>
      <c r="B48" s="106" t="s">
        <v>497</v>
      </c>
      <c r="C48" s="106" t="s">
        <v>498</v>
      </c>
      <c r="D48" s="278"/>
      <c r="E48" s="230"/>
      <c r="F48" s="230"/>
    </row>
    <row r="49" spans="1:6" ht="31.5" customHeight="1">
      <c r="A49" s="229" t="s">
        <v>135</v>
      </c>
      <c r="B49" s="106">
        <v>0.46</v>
      </c>
      <c r="C49" s="106">
        <v>0.54</v>
      </c>
      <c r="D49" s="106"/>
      <c r="E49" s="106"/>
      <c r="F49" s="106"/>
    </row>
    <row r="50" spans="1:6" ht="31.5" customHeight="1">
      <c r="A50" s="25" t="s">
        <v>136</v>
      </c>
      <c r="B50" s="25" t="s">
        <v>127</v>
      </c>
      <c r="C50" s="25" t="s">
        <v>128</v>
      </c>
      <c r="D50" s="25" t="s">
        <v>129</v>
      </c>
      <c r="E50" s="25" t="s">
        <v>130</v>
      </c>
      <c r="F50" s="25" t="s">
        <v>131</v>
      </c>
    </row>
    <row r="51" spans="1:6" ht="31.5" customHeight="1">
      <c r="A51" s="228" t="s">
        <v>499</v>
      </c>
      <c r="B51" s="278" t="s">
        <v>566</v>
      </c>
      <c r="C51" s="230" t="s">
        <v>567</v>
      </c>
      <c r="D51" s="230" t="s">
        <v>568</v>
      </c>
      <c r="E51" s="106" t="s">
        <v>569</v>
      </c>
      <c r="F51" s="230" t="s">
        <v>504</v>
      </c>
    </row>
    <row r="52" spans="1:6" ht="31.5" customHeight="1">
      <c r="A52" s="229" t="s">
        <v>135</v>
      </c>
      <c r="B52" s="106">
        <v>0.4</v>
      </c>
      <c r="C52" s="106">
        <v>0.22</v>
      </c>
      <c r="D52" s="106">
        <v>0.12</v>
      </c>
      <c r="E52" s="106">
        <v>0.12</v>
      </c>
      <c r="F52" s="106">
        <v>0.14000000000000001</v>
      </c>
    </row>
    <row r="53" spans="1:6" ht="31.5" customHeight="1">
      <c r="A53" s="25" t="s">
        <v>136</v>
      </c>
      <c r="B53" s="25" t="s">
        <v>127</v>
      </c>
      <c r="C53" s="25" t="s">
        <v>128</v>
      </c>
      <c r="D53" s="25" t="s">
        <v>129</v>
      </c>
      <c r="E53" s="25" t="s">
        <v>130</v>
      </c>
      <c r="F53" s="25" t="s">
        <v>131</v>
      </c>
    </row>
    <row r="54" spans="1:6" ht="31.5" customHeight="1">
      <c r="A54" s="228" t="s">
        <v>505</v>
      </c>
      <c r="B54" s="106" t="s">
        <v>568</v>
      </c>
      <c r="C54" s="257" t="s">
        <v>566</v>
      </c>
      <c r="D54" s="278" t="s">
        <v>570</v>
      </c>
      <c r="E54" s="257" t="s">
        <v>509</v>
      </c>
      <c r="F54" s="230" t="s">
        <v>504</v>
      </c>
    </row>
    <row r="55" spans="1:6" ht="31.5" customHeight="1">
      <c r="A55" s="229" t="s">
        <v>135</v>
      </c>
      <c r="B55" s="106">
        <v>0.53</v>
      </c>
      <c r="C55" s="106">
        <v>0.22</v>
      </c>
      <c r="D55" s="106">
        <v>0.09</v>
      </c>
      <c r="E55" s="106">
        <v>7.0000000000000007E-2</v>
      </c>
      <c r="F55" s="106">
        <v>0.09</v>
      </c>
    </row>
    <row r="56" spans="1:6" ht="31.5" customHeight="1">
      <c r="A56" s="25" t="s">
        <v>136</v>
      </c>
      <c r="B56" s="25" t="s">
        <v>127</v>
      </c>
      <c r="C56" s="25" t="s">
        <v>128</v>
      </c>
      <c r="D56" s="25" t="s">
        <v>129</v>
      </c>
      <c r="E56" s="25" t="s">
        <v>130</v>
      </c>
      <c r="F56" s="25" t="s">
        <v>131</v>
      </c>
    </row>
    <row r="57" spans="1:6" ht="31.5" customHeight="1">
      <c r="A57" s="228" t="s">
        <v>510</v>
      </c>
      <c r="B57" s="257" t="s">
        <v>571</v>
      </c>
      <c r="C57" s="257" t="s">
        <v>572</v>
      </c>
      <c r="D57" s="257" t="s">
        <v>573</v>
      </c>
      <c r="E57" s="230" t="s">
        <v>574</v>
      </c>
      <c r="F57" s="230" t="s">
        <v>504</v>
      </c>
    </row>
    <row r="58" spans="1:6" ht="31.5" customHeight="1">
      <c r="A58" s="229" t="s">
        <v>135</v>
      </c>
      <c r="B58" s="106">
        <v>0.3</v>
      </c>
      <c r="C58" s="106">
        <v>0.22</v>
      </c>
      <c r="D58" s="106">
        <v>0.2</v>
      </c>
      <c r="E58" s="106">
        <v>0.14000000000000001</v>
      </c>
      <c r="F58" s="106">
        <v>0.14000000000000001</v>
      </c>
    </row>
    <row r="59" spans="1:6" ht="19.5" customHeight="1">
      <c r="A59" s="25" t="s">
        <v>136</v>
      </c>
      <c r="B59" s="25" t="s">
        <v>127</v>
      </c>
      <c r="C59" s="25" t="s">
        <v>128</v>
      </c>
      <c r="D59" s="25" t="s">
        <v>129</v>
      </c>
      <c r="E59" s="25" t="s">
        <v>130</v>
      </c>
      <c r="F59" s="25" t="s">
        <v>131</v>
      </c>
    </row>
    <row r="60" spans="1:6" ht="30.75" customHeight="1">
      <c r="A60" s="279"/>
      <c r="B60" s="230"/>
      <c r="C60" s="230"/>
      <c r="D60" s="230"/>
      <c r="E60" s="230"/>
      <c r="F60" s="230"/>
    </row>
    <row r="61" spans="1:6" ht="19.5" customHeight="1">
      <c r="A61" s="279"/>
      <c r="B61" s="106"/>
      <c r="C61" s="106"/>
      <c r="D61" s="106"/>
      <c r="E61" s="106"/>
      <c r="F61" s="106"/>
    </row>
    <row r="62" spans="1:6" ht="19.5" customHeight="1">
      <c r="A62" s="25" t="s">
        <v>136</v>
      </c>
      <c r="B62" s="25" t="s">
        <v>127</v>
      </c>
      <c r="C62" s="25" t="s">
        <v>128</v>
      </c>
      <c r="D62" s="25" t="s">
        <v>129</v>
      </c>
      <c r="E62" s="25" t="s">
        <v>130</v>
      </c>
      <c r="F62" s="25" t="s">
        <v>131</v>
      </c>
    </row>
    <row r="63" spans="1:6" ht="19.5" customHeight="1">
      <c r="A63" s="279"/>
      <c r="B63" s="230"/>
      <c r="C63" s="230"/>
      <c r="D63" s="230"/>
      <c r="E63" s="230"/>
      <c r="F63" s="230"/>
    </row>
    <row r="64" spans="1:6" ht="19.5" customHeight="1">
      <c r="A64" s="279"/>
      <c r="B64" s="106"/>
      <c r="C64" s="106"/>
      <c r="D64" s="106"/>
      <c r="E64" s="106"/>
      <c r="F64" s="106"/>
    </row>
    <row r="65" spans="1:2" ht="19.5" customHeight="1">
      <c r="A65" s="104" t="s">
        <v>144</v>
      </c>
      <c r="B65" s="53"/>
    </row>
    <row r="66" spans="1:2" ht="19.5" customHeight="1">
      <c r="A66" s="52"/>
      <c r="B66" s="53"/>
    </row>
    <row r="67" spans="1:2" ht="19.5" customHeight="1">
      <c r="A67" s="52"/>
      <c r="B67" s="53"/>
    </row>
    <row r="68" spans="1:2">
      <c r="A68" s="52"/>
      <c r="B68" s="53"/>
    </row>
    <row r="69" spans="1:2">
      <c r="A69" s="52"/>
      <c r="B69" s="53"/>
    </row>
    <row r="70" spans="1:2">
      <c r="A70" s="52"/>
      <c r="B70" s="53"/>
    </row>
    <row r="71" spans="1:2">
      <c r="A71" s="52"/>
      <c r="B71" s="53"/>
    </row>
    <row r="72" spans="1:2">
      <c r="A72" s="52"/>
      <c r="B72" s="53"/>
    </row>
    <row r="73" spans="1:2">
      <c r="A73" s="52"/>
      <c r="B73" s="53"/>
    </row>
    <row r="74" spans="1:2">
      <c r="A74" s="52"/>
      <c r="B74" s="53"/>
    </row>
    <row r="75" spans="1:2">
      <c r="A75" s="52"/>
      <c r="B75" s="53"/>
    </row>
    <row r="76" spans="1:2">
      <c r="A76" s="52"/>
      <c r="B76" s="53"/>
    </row>
    <row r="77" spans="1:2">
      <c r="A77" s="52"/>
      <c r="B77" s="53"/>
    </row>
    <row r="78" spans="1:2">
      <c r="A78" s="52"/>
      <c r="B78" s="53"/>
    </row>
    <row r="79" spans="1:2">
      <c r="A79" s="52"/>
      <c r="B79" s="53"/>
    </row>
    <row r="80" spans="1:2" ht="15" thickBot="1">
      <c r="A80" s="52"/>
      <c r="B80" s="53"/>
    </row>
    <row r="81" spans="1:15" ht="18.95" thickBot="1">
      <c r="A81" s="360" t="s">
        <v>145</v>
      </c>
      <c r="B81" s="360"/>
      <c r="C81" s="360"/>
      <c r="D81" s="360"/>
      <c r="E81" s="360"/>
      <c r="F81" s="360"/>
    </row>
    <row r="82" spans="1:15" ht="18.95" thickBot="1">
      <c r="A82" s="16" t="s">
        <v>136</v>
      </c>
      <c r="B82" s="17" t="s">
        <v>147</v>
      </c>
      <c r="C82" s="18" t="s">
        <v>148</v>
      </c>
      <c r="D82" s="19" t="s">
        <v>149</v>
      </c>
      <c r="E82" s="17" t="s">
        <v>150</v>
      </c>
      <c r="F82" s="20" t="s">
        <v>151</v>
      </c>
      <c r="H82" s="540" t="s">
        <v>146</v>
      </c>
      <c r="I82" s="540"/>
      <c r="J82" s="540"/>
      <c r="K82" s="540"/>
      <c r="L82" s="540"/>
      <c r="M82" s="540"/>
      <c r="N82" s="540"/>
      <c r="O82" s="540"/>
    </row>
    <row r="83" spans="1:15" s="15" customFormat="1" ht="42" hidden="1" customHeight="1">
      <c r="A83" s="541" t="s">
        <v>484</v>
      </c>
      <c r="B83" s="542" t="s">
        <v>514</v>
      </c>
      <c r="C83" s="332" t="s">
        <v>515</v>
      </c>
      <c r="D83" s="332" t="s">
        <v>516</v>
      </c>
      <c r="E83" s="337">
        <v>46122</v>
      </c>
      <c r="F83" s="339">
        <v>5</v>
      </c>
      <c r="G83" s="53"/>
      <c r="H83" s="21" t="s">
        <v>58</v>
      </c>
      <c r="I83" s="22" t="s">
        <v>152</v>
      </c>
      <c r="J83" s="22" t="s">
        <v>153</v>
      </c>
      <c r="K83" s="23" t="s">
        <v>154</v>
      </c>
      <c r="L83" s="23" t="s">
        <v>155</v>
      </c>
      <c r="M83" s="24" t="s">
        <v>156</v>
      </c>
      <c r="N83" s="23" t="s">
        <v>157</v>
      </c>
      <c r="O83" s="36" t="s">
        <v>158</v>
      </c>
    </row>
    <row r="84" spans="1:15" ht="16.5" hidden="1" customHeight="1">
      <c r="A84" s="541"/>
      <c r="B84" s="542"/>
      <c r="C84" s="332"/>
      <c r="D84" s="332"/>
      <c r="E84" s="337"/>
      <c r="F84" s="339"/>
      <c r="H84" s="330"/>
      <c r="I84" s="372"/>
      <c r="J84" s="367"/>
      <c r="K84" s="372"/>
      <c r="L84" s="367" t="s">
        <v>517</v>
      </c>
      <c r="M84" s="370"/>
      <c r="N84" s="372"/>
      <c r="O84" s="374"/>
    </row>
    <row r="85" spans="1:15" ht="18.75" customHeight="1">
      <c r="A85" s="541" t="s">
        <v>484</v>
      </c>
      <c r="B85" s="542" t="s">
        <v>518</v>
      </c>
      <c r="C85" s="542" t="s">
        <v>575</v>
      </c>
      <c r="D85" s="332" t="s">
        <v>520</v>
      </c>
      <c r="E85" s="337">
        <v>46258</v>
      </c>
      <c r="F85" s="339">
        <v>4</v>
      </c>
      <c r="H85" s="330"/>
      <c r="I85" s="372"/>
      <c r="J85" s="367"/>
      <c r="K85" s="372"/>
      <c r="L85" s="367"/>
      <c r="M85" s="370"/>
      <c r="N85" s="372"/>
      <c r="O85" s="374"/>
    </row>
    <row r="86" spans="1:15" ht="29.25" customHeight="1">
      <c r="A86" s="541"/>
      <c r="B86" s="542"/>
      <c r="C86" s="542"/>
      <c r="D86" s="332"/>
      <c r="E86" s="337"/>
      <c r="F86" s="339"/>
      <c r="H86" s="330"/>
      <c r="I86" s="367"/>
      <c r="J86" s="367"/>
      <c r="K86" s="367"/>
      <c r="L86" s="367"/>
      <c r="M86" s="370"/>
      <c r="N86" s="367"/>
      <c r="O86" s="345"/>
    </row>
    <row r="87" spans="1:15" ht="15.75" hidden="1" customHeight="1">
      <c r="A87" s="541" t="s">
        <v>484</v>
      </c>
      <c r="B87" s="543" t="s">
        <v>521</v>
      </c>
      <c r="C87" s="343" t="s">
        <v>522</v>
      </c>
      <c r="D87" s="336" t="s">
        <v>516</v>
      </c>
      <c r="E87" s="544">
        <v>46157</v>
      </c>
      <c r="F87" s="339">
        <v>5</v>
      </c>
      <c r="H87" s="330"/>
      <c r="I87" s="367"/>
      <c r="J87" s="367"/>
      <c r="K87" s="367"/>
      <c r="L87" s="367"/>
      <c r="M87" s="370"/>
      <c r="N87" s="367"/>
      <c r="O87" s="345"/>
    </row>
    <row r="88" spans="1:15" ht="17.100000000000001" customHeight="1">
      <c r="A88" s="541"/>
      <c r="B88" s="543"/>
      <c r="C88" s="343"/>
      <c r="D88" s="336"/>
      <c r="E88" s="544"/>
      <c r="F88" s="339"/>
      <c r="H88" s="291"/>
      <c r="I88" s="255"/>
      <c r="J88" s="255"/>
      <c r="K88" s="255"/>
      <c r="L88" s="255"/>
      <c r="M88" s="292"/>
      <c r="N88" s="255"/>
      <c r="O88" s="290"/>
    </row>
    <row r="89" spans="1:15" ht="32.450000000000003" customHeight="1">
      <c r="A89" s="541" t="s">
        <v>484</v>
      </c>
      <c r="B89" s="493" t="s">
        <v>523</v>
      </c>
      <c r="C89" s="343" t="s">
        <v>576</v>
      </c>
      <c r="D89" s="336" t="s">
        <v>516</v>
      </c>
      <c r="E89" s="337">
        <v>46228</v>
      </c>
      <c r="F89" s="339">
        <v>3</v>
      </c>
      <c r="H89" s="171"/>
      <c r="I89" s="255"/>
      <c r="J89" s="255"/>
      <c r="K89" s="255"/>
      <c r="L89" s="255"/>
      <c r="M89" s="255"/>
      <c r="N89" s="255"/>
      <c r="O89" s="255"/>
    </row>
    <row r="90" spans="1:15" ht="38.1" customHeight="1">
      <c r="A90" s="541"/>
      <c r="B90" s="493"/>
      <c r="C90" s="343"/>
      <c r="D90" s="336"/>
      <c r="E90" s="337"/>
      <c r="F90" s="339"/>
      <c r="H90" s="330"/>
      <c r="I90" s="367"/>
      <c r="J90" s="367"/>
      <c r="K90" s="367"/>
      <c r="L90" s="367"/>
      <c r="M90" s="370"/>
      <c r="N90" s="367"/>
      <c r="O90" s="345"/>
    </row>
    <row r="91" spans="1:15" ht="36.6" customHeight="1">
      <c r="A91" s="541" t="s">
        <v>484</v>
      </c>
      <c r="B91" s="545" t="s">
        <v>526</v>
      </c>
      <c r="C91" s="343" t="s">
        <v>527</v>
      </c>
      <c r="D91" s="336" t="s">
        <v>516</v>
      </c>
      <c r="E91" s="337">
        <v>46213</v>
      </c>
      <c r="F91" s="339">
        <v>5</v>
      </c>
      <c r="H91" s="330"/>
      <c r="I91" s="367"/>
      <c r="J91" s="367"/>
      <c r="K91" s="367"/>
      <c r="L91" s="367"/>
      <c r="M91" s="370"/>
      <c r="N91" s="367"/>
      <c r="O91" s="345"/>
    </row>
    <row r="92" spans="1:15" ht="16.5" customHeight="1">
      <c r="A92" s="541"/>
      <c r="B92" s="545"/>
      <c r="C92" s="343"/>
      <c r="D92" s="336"/>
      <c r="E92" s="337"/>
      <c r="F92" s="339"/>
      <c r="H92" s="330"/>
      <c r="I92" s="367"/>
      <c r="J92" s="367"/>
      <c r="K92" s="369"/>
      <c r="L92" s="367"/>
      <c r="M92" s="370"/>
      <c r="N92" s="372"/>
      <c r="O92" s="374"/>
    </row>
    <row r="93" spans="1:15" ht="28.5" customHeight="1">
      <c r="A93" s="548" t="s">
        <v>484</v>
      </c>
      <c r="B93" s="388" t="s">
        <v>528</v>
      </c>
      <c r="C93" s="553" t="s">
        <v>577</v>
      </c>
      <c r="D93" s="554" t="s">
        <v>578</v>
      </c>
      <c r="E93" s="546">
        <v>46218</v>
      </c>
      <c r="F93" s="547">
        <v>3</v>
      </c>
      <c r="H93" s="330"/>
      <c r="I93" s="367"/>
      <c r="J93" s="367"/>
      <c r="K93" s="369"/>
      <c r="L93" s="367"/>
      <c r="M93" s="370"/>
      <c r="N93" s="372"/>
      <c r="O93" s="374"/>
    </row>
    <row r="94" spans="1:15" s="15" customFormat="1" ht="49.5" customHeight="1">
      <c r="A94" s="548"/>
      <c r="B94" s="388"/>
      <c r="C94" s="553"/>
      <c r="D94" s="554"/>
      <c r="E94" s="546"/>
      <c r="F94" s="547"/>
      <c r="G94" s="53"/>
      <c r="H94" s="330"/>
      <c r="I94" s="367"/>
      <c r="J94" s="367"/>
      <c r="K94" s="372"/>
      <c r="L94" s="367"/>
      <c r="M94" s="370"/>
      <c r="N94" s="367"/>
      <c r="O94" s="345"/>
    </row>
    <row r="95" spans="1:15" s="15" customFormat="1" ht="25.5" hidden="1" customHeight="1">
      <c r="A95" s="548" t="s">
        <v>484</v>
      </c>
      <c r="B95" s="552" t="s">
        <v>530</v>
      </c>
      <c r="C95" s="553" t="s">
        <v>531</v>
      </c>
      <c r="D95" s="554" t="s">
        <v>532</v>
      </c>
      <c r="E95" s="546">
        <v>46210</v>
      </c>
      <c r="F95" s="547">
        <v>5</v>
      </c>
      <c r="G95" s="53"/>
      <c r="H95" s="330"/>
      <c r="I95" s="367"/>
      <c r="J95" s="367"/>
      <c r="K95" s="372"/>
      <c r="L95" s="367"/>
      <c r="M95" s="370"/>
      <c r="N95" s="367"/>
      <c r="O95" s="345"/>
    </row>
    <row r="96" spans="1:15" s="15" customFormat="1" ht="26.45" hidden="1" customHeight="1">
      <c r="A96" s="548"/>
      <c r="B96" s="552"/>
      <c r="C96" s="553"/>
      <c r="D96" s="554"/>
      <c r="E96" s="546"/>
      <c r="F96" s="547"/>
      <c r="G96" s="53"/>
      <c r="H96" s="177"/>
      <c r="I96" s="177"/>
      <c r="J96" s="177"/>
      <c r="K96" s="177"/>
      <c r="L96" s="177"/>
      <c r="N96" s="177"/>
      <c r="O96" s="177"/>
    </row>
    <row r="97" spans="1:15" s="15" customFormat="1" ht="23.45" hidden="1" customHeight="1">
      <c r="A97" s="548" t="s">
        <v>510</v>
      </c>
      <c r="B97" s="549" t="s">
        <v>533</v>
      </c>
      <c r="C97" s="550" t="s">
        <v>534</v>
      </c>
      <c r="D97" s="551" t="s">
        <v>535</v>
      </c>
      <c r="E97" s="546">
        <v>46129</v>
      </c>
      <c r="F97" s="547">
        <v>5</v>
      </c>
      <c r="G97" s="53"/>
      <c r="H97" s="177"/>
      <c r="I97" s="177"/>
      <c r="J97" s="177"/>
      <c r="K97" s="177"/>
      <c r="L97" s="177"/>
      <c r="N97" s="177"/>
      <c r="O97" s="177"/>
    </row>
    <row r="98" spans="1:15" ht="16.5" hidden="1" customHeight="1">
      <c r="A98" s="548"/>
      <c r="B98" s="549"/>
      <c r="C98" s="550"/>
      <c r="D98" s="551"/>
      <c r="E98" s="546"/>
      <c r="F98" s="547"/>
      <c r="H98" s="177"/>
      <c r="I98" s="177"/>
      <c r="J98" s="177"/>
      <c r="K98" s="177"/>
      <c r="L98" s="177"/>
      <c r="M98" s="15"/>
      <c r="N98" s="177"/>
      <c r="O98" s="177"/>
    </row>
    <row r="99" spans="1:15" ht="96.95" customHeight="1">
      <c r="A99" s="548" t="s">
        <v>510</v>
      </c>
      <c r="B99" s="552" t="s">
        <v>536</v>
      </c>
      <c r="C99" s="553" t="s">
        <v>579</v>
      </c>
      <c r="D99" s="554" t="s">
        <v>580</v>
      </c>
      <c r="E99" s="546" t="s">
        <v>581</v>
      </c>
      <c r="F99" s="547">
        <v>4</v>
      </c>
      <c r="H99" s="177"/>
      <c r="I99" s="177"/>
      <c r="J99" s="177"/>
      <c r="K99" s="177"/>
      <c r="L99" s="177"/>
      <c r="M99" s="15"/>
      <c r="N99" s="177"/>
      <c r="O99" s="177"/>
    </row>
    <row r="100" spans="1:15" ht="81" customHeight="1">
      <c r="A100" s="548"/>
      <c r="B100" s="552"/>
      <c r="C100" s="553"/>
      <c r="D100" s="554"/>
      <c r="E100" s="546"/>
      <c r="F100" s="547"/>
      <c r="H100" s="177"/>
      <c r="I100" s="177"/>
      <c r="J100" s="177"/>
      <c r="K100" s="177"/>
      <c r="L100" s="177"/>
      <c r="M100" s="15"/>
      <c r="N100" s="177"/>
      <c r="O100" s="177"/>
    </row>
    <row r="101" spans="1:15" ht="119.45" customHeight="1">
      <c r="A101" s="548" t="s">
        <v>510</v>
      </c>
      <c r="B101" s="553" t="s">
        <v>487</v>
      </c>
      <c r="C101" s="555" t="s">
        <v>582</v>
      </c>
      <c r="D101" s="554" t="s">
        <v>540</v>
      </c>
      <c r="E101" s="546" t="s">
        <v>583</v>
      </c>
      <c r="F101" s="547">
        <v>3</v>
      </c>
      <c r="H101" s="177"/>
      <c r="I101" s="177"/>
      <c r="J101" s="177"/>
      <c r="K101" s="177"/>
      <c r="L101" s="177"/>
      <c r="M101" s="15"/>
      <c r="N101" s="177"/>
      <c r="O101" s="177"/>
    </row>
    <row r="102" spans="1:15" ht="91.5" customHeight="1">
      <c r="A102" s="548"/>
      <c r="B102" s="553"/>
      <c r="C102" s="555"/>
      <c r="D102" s="554"/>
      <c r="E102" s="546"/>
      <c r="F102" s="547"/>
      <c r="H102" s="177"/>
      <c r="I102" s="177"/>
      <c r="J102" s="177"/>
      <c r="K102" s="177"/>
      <c r="L102" s="177"/>
      <c r="M102" s="15"/>
      <c r="N102" s="177"/>
      <c r="O102" s="177"/>
    </row>
    <row r="103" spans="1:15" ht="51.75" hidden="1" customHeight="1">
      <c r="A103" s="548" t="s">
        <v>541</v>
      </c>
      <c r="B103" s="553" t="s">
        <v>542</v>
      </c>
      <c r="C103" s="554" t="s">
        <v>543</v>
      </c>
      <c r="D103" s="554" t="s">
        <v>544</v>
      </c>
      <c r="E103" s="546">
        <v>46068</v>
      </c>
      <c r="F103" s="547">
        <v>5</v>
      </c>
      <c r="H103" s="177"/>
      <c r="I103" s="177"/>
      <c r="J103" s="177"/>
      <c r="K103" s="177"/>
      <c r="L103" s="177"/>
      <c r="M103" s="15"/>
      <c r="N103" s="177"/>
      <c r="O103" s="177"/>
    </row>
    <row r="104" spans="1:15" ht="17.25" hidden="1" customHeight="1">
      <c r="A104" s="548"/>
      <c r="B104" s="553"/>
      <c r="C104" s="554"/>
      <c r="D104" s="554"/>
      <c r="E104" s="546"/>
      <c r="F104" s="547"/>
    </row>
    <row r="105" spans="1:15" ht="66.95" customHeight="1">
      <c r="A105" s="548" t="s">
        <v>510</v>
      </c>
      <c r="B105" s="553" t="s">
        <v>487</v>
      </c>
      <c r="C105" s="553" t="s">
        <v>584</v>
      </c>
      <c r="D105" s="554" t="s">
        <v>546</v>
      </c>
      <c r="E105" s="546">
        <v>46220</v>
      </c>
      <c r="F105" s="547">
        <v>3</v>
      </c>
    </row>
    <row r="106" spans="1:15" ht="57.6" customHeight="1">
      <c r="A106" s="548"/>
      <c r="B106" s="553"/>
      <c r="C106" s="553"/>
      <c r="D106" s="554"/>
      <c r="E106" s="546"/>
      <c r="F106" s="547"/>
    </row>
    <row r="107" spans="1:15" ht="44.1" customHeight="1">
      <c r="A107" s="548" t="s">
        <v>510</v>
      </c>
      <c r="B107" s="343" t="s">
        <v>547</v>
      </c>
      <c r="C107" s="343" t="s">
        <v>585</v>
      </c>
      <c r="D107" s="336" t="s">
        <v>586</v>
      </c>
      <c r="E107" s="337">
        <v>46234</v>
      </c>
      <c r="F107" s="547">
        <v>3</v>
      </c>
    </row>
    <row r="108" spans="1:15" ht="44.1" customHeight="1">
      <c r="A108" s="548"/>
      <c r="B108" s="382"/>
      <c r="C108" s="382"/>
      <c r="D108" s="333"/>
      <c r="E108" s="338"/>
      <c r="F108" s="547"/>
    </row>
    <row r="109" spans="1:15" ht="17.25" hidden="1" customHeight="1">
      <c r="A109" s="548" t="s">
        <v>551</v>
      </c>
      <c r="B109" s="554" t="s">
        <v>552</v>
      </c>
      <c r="C109" s="554" t="s">
        <v>553</v>
      </c>
      <c r="D109" s="554" t="s">
        <v>554</v>
      </c>
      <c r="E109" s="546">
        <v>46217</v>
      </c>
      <c r="F109" s="547">
        <v>5</v>
      </c>
    </row>
    <row r="110" spans="1:15" ht="34.5" hidden="1" customHeight="1">
      <c r="A110" s="548"/>
      <c r="B110" s="554"/>
      <c r="C110" s="554"/>
      <c r="D110" s="554"/>
      <c r="E110" s="546"/>
      <c r="F110" s="547"/>
    </row>
    <row r="111" spans="1:15" ht="39.75" customHeight="1">
      <c r="A111" s="311" t="s">
        <v>551</v>
      </c>
      <c r="B111" s="336" t="s">
        <v>555</v>
      </c>
      <c r="C111" s="336" t="s">
        <v>587</v>
      </c>
      <c r="D111" s="336" t="s">
        <v>557</v>
      </c>
      <c r="E111" s="337" t="s">
        <v>588</v>
      </c>
      <c r="F111" s="339">
        <v>3</v>
      </c>
    </row>
    <row r="112" spans="1:15" ht="123.75" customHeight="1" thickBot="1">
      <c r="A112" s="312"/>
      <c r="B112" s="434"/>
      <c r="C112" s="434"/>
      <c r="D112" s="434"/>
      <c r="E112" s="459"/>
      <c r="F112" s="487"/>
    </row>
    <row r="113" spans="1:8" ht="36" hidden="1" customHeight="1">
      <c r="A113" s="541" t="s">
        <v>551</v>
      </c>
      <c r="B113" s="336" t="s">
        <v>558</v>
      </c>
      <c r="C113" s="336" t="s">
        <v>559</v>
      </c>
      <c r="D113" s="336" t="s">
        <v>557</v>
      </c>
      <c r="E113" s="337">
        <v>46157</v>
      </c>
      <c r="F113" s="339">
        <v>5</v>
      </c>
    </row>
    <row r="114" spans="1:8" ht="36" hidden="1" customHeight="1">
      <c r="A114" s="541"/>
      <c r="B114" s="336"/>
      <c r="C114" s="336"/>
      <c r="D114" s="336"/>
      <c r="E114" s="337"/>
      <c r="F114" s="339"/>
    </row>
    <row r="115" spans="1:8" ht="33" hidden="1" customHeight="1">
      <c r="A115" s="541" t="s">
        <v>560</v>
      </c>
      <c r="B115" s="336" t="s">
        <v>561</v>
      </c>
      <c r="C115" s="336" t="s">
        <v>562</v>
      </c>
      <c r="D115" s="336" t="s">
        <v>563</v>
      </c>
      <c r="E115" s="337">
        <v>46172</v>
      </c>
      <c r="F115" s="339">
        <v>5</v>
      </c>
    </row>
    <row r="116" spans="1:8" ht="25.5" hidden="1" customHeight="1" thickBot="1">
      <c r="A116" s="558"/>
      <c r="B116" s="333"/>
      <c r="C116" s="333"/>
      <c r="D116" s="333"/>
      <c r="E116" s="338"/>
      <c r="F116" s="340"/>
      <c r="G116" s="52"/>
    </row>
    <row r="117" spans="1:8" ht="45" customHeight="1">
      <c r="A117" s="280" t="s">
        <v>195</v>
      </c>
      <c r="B117" s="280" t="s">
        <v>196</v>
      </c>
      <c r="C117" s="281" t="s">
        <v>197</v>
      </c>
      <c r="D117" s="281" t="s">
        <v>198</v>
      </c>
      <c r="E117" s="556" t="s">
        <v>199</v>
      </c>
      <c r="F117" s="557"/>
      <c r="G117" s="52"/>
    </row>
    <row r="118" spans="1:8" ht="21.75" customHeight="1">
      <c r="A118" s="52"/>
      <c r="C118" s="52"/>
      <c r="D118" s="52"/>
      <c r="E118" s="52"/>
      <c r="F118" s="52"/>
      <c r="G118" s="52"/>
    </row>
    <row r="119" spans="1:8" ht="36" customHeight="1">
      <c r="G119" s="52"/>
    </row>
    <row r="120" spans="1:8" ht="21.75" customHeight="1">
      <c r="G120" s="52"/>
    </row>
    <row r="121" spans="1:8" ht="21.75" customHeight="1">
      <c r="G121" s="52"/>
    </row>
    <row r="122" spans="1:8" ht="21.75" customHeight="1">
      <c r="G122" s="52"/>
    </row>
    <row r="123" spans="1:8" ht="21.75" customHeight="1">
      <c r="G123" s="52"/>
    </row>
    <row r="124" spans="1:8" ht="21.75" customHeight="1">
      <c r="G124" s="52"/>
      <c r="H124" s="52"/>
    </row>
    <row r="125" spans="1:8" ht="21.75" customHeight="1">
      <c r="G125" s="52"/>
    </row>
    <row r="126" spans="1:8" ht="21.75" customHeight="1">
      <c r="B126" s="52" t="s">
        <v>564</v>
      </c>
      <c r="G126" s="52"/>
    </row>
    <row r="127" spans="1:8" ht="87" customHeight="1">
      <c r="B127" s="293" t="s">
        <v>565</v>
      </c>
      <c r="G127" s="52"/>
    </row>
    <row r="128" spans="1:8" ht="21.75" customHeight="1">
      <c r="G128" s="52"/>
    </row>
    <row r="129" spans="7:7" ht="21.75" customHeight="1">
      <c r="G129" s="52"/>
    </row>
    <row r="130" spans="7:7">
      <c r="G130" s="52"/>
    </row>
  </sheetData>
  <mergeCells count="204">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G20:G21"/>
    <mergeCell ref="A22:A23"/>
    <mergeCell ref="B22:B23"/>
    <mergeCell ref="C22:C23"/>
    <mergeCell ref="D22:D23"/>
    <mergeCell ref="E22:E23"/>
    <mergeCell ref="F22:F23"/>
    <mergeCell ref="G22:G23"/>
    <mergeCell ref="A20:A21"/>
    <mergeCell ref="B20:B21"/>
    <mergeCell ref="C20:C21"/>
    <mergeCell ref="D20:D21"/>
    <mergeCell ref="E20:E21"/>
    <mergeCell ref="F20:F21"/>
    <mergeCell ref="A42:E42"/>
    <mergeCell ref="A45:B45"/>
    <mergeCell ref="B46:F46"/>
    <mergeCell ref="A81:F81"/>
    <mergeCell ref="H82:O82"/>
    <mergeCell ref="A83:A84"/>
    <mergeCell ref="B83:B84"/>
    <mergeCell ref="C83:C84"/>
    <mergeCell ref="D83:D84"/>
    <mergeCell ref="E83:E84"/>
    <mergeCell ref="M84:M85"/>
    <mergeCell ref="N84:N85"/>
    <mergeCell ref="O84:O85"/>
    <mergeCell ref="A85:A86"/>
    <mergeCell ref="B85:B86"/>
    <mergeCell ref="C85:C86"/>
    <mergeCell ref="D85:D86"/>
    <mergeCell ref="E85:E86"/>
    <mergeCell ref="F85:F86"/>
    <mergeCell ref="H86:H87"/>
    <mergeCell ref="F83:F84"/>
    <mergeCell ref="H84:H85"/>
    <mergeCell ref="I84:I85"/>
    <mergeCell ref="J84:J85"/>
    <mergeCell ref="K84:K85"/>
    <mergeCell ref="L84:L85"/>
    <mergeCell ref="O86:O87"/>
    <mergeCell ref="A87:A88"/>
    <mergeCell ref="B87:B88"/>
    <mergeCell ref="C87:C88"/>
    <mergeCell ref="D87:D88"/>
    <mergeCell ref="E87:E88"/>
    <mergeCell ref="F87:F88"/>
    <mergeCell ref="I86:I87"/>
    <mergeCell ref="J86:J87"/>
    <mergeCell ref="K86:K87"/>
    <mergeCell ref="L86:L87"/>
    <mergeCell ref="M86:M87"/>
    <mergeCell ref="N86:N87"/>
    <mergeCell ref="A91:A92"/>
    <mergeCell ref="B91:B92"/>
    <mergeCell ref="C91:C92"/>
    <mergeCell ref="D91:D92"/>
    <mergeCell ref="E91:E92"/>
    <mergeCell ref="F91:F92"/>
    <mergeCell ref="H92:H93"/>
    <mergeCell ref="I92:I93"/>
    <mergeCell ref="H90:H91"/>
    <mergeCell ref="I90:I91"/>
    <mergeCell ref="A89:A90"/>
    <mergeCell ref="B89:B90"/>
    <mergeCell ref="C89:C90"/>
    <mergeCell ref="D89:D90"/>
    <mergeCell ref="E89:E90"/>
    <mergeCell ref="F89:F90"/>
    <mergeCell ref="E93:E94"/>
    <mergeCell ref="F93:F94"/>
    <mergeCell ref="J92:J93"/>
    <mergeCell ref="K92:K93"/>
    <mergeCell ref="L92:L93"/>
    <mergeCell ref="M92:M93"/>
    <mergeCell ref="N92:N93"/>
    <mergeCell ref="O92:O93"/>
    <mergeCell ref="N90:N91"/>
    <mergeCell ref="O90:O91"/>
    <mergeCell ref="J90:J91"/>
    <mergeCell ref="K90:K91"/>
    <mergeCell ref="L90:L91"/>
    <mergeCell ref="M90:M91"/>
    <mergeCell ref="A97:A98"/>
    <mergeCell ref="B97:B98"/>
    <mergeCell ref="C97:C98"/>
    <mergeCell ref="D97:D98"/>
    <mergeCell ref="E97:E98"/>
    <mergeCell ref="F97:F98"/>
    <mergeCell ref="N94:N95"/>
    <mergeCell ref="O94:O95"/>
    <mergeCell ref="A95:A96"/>
    <mergeCell ref="B95:B96"/>
    <mergeCell ref="C95:C96"/>
    <mergeCell ref="D95:D96"/>
    <mergeCell ref="E95:E96"/>
    <mergeCell ref="F95:F96"/>
    <mergeCell ref="H94:H95"/>
    <mergeCell ref="I94:I95"/>
    <mergeCell ref="J94:J95"/>
    <mergeCell ref="K94:K95"/>
    <mergeCell ref="L94:L95"/>
    <mergeCell ref="M94:M95"/>
    <mergeCell ref="A93:A94"/>
    <mergeCell ref="B93:B94"/>
    <mergeCell ref="C93:C94"/>
    <mergeCell ref="D93:D94"/>
    <mergeCell ref="A101:A102"/>
    <mergeCell ref="B101:B102"/>
    <mergeCell ref="C101:C102"/>
    <mergeCell ref="D101:D102"/>
    <mergeCell ref="E101:E102"/>
    <mergeCell ref="F101:F102"/>
    <mergeCell ref="A99:A100"/>
    <mergeCell ref="B99:B100"/>
    <mergeCell ref="C99:C100"/>
    <mergeCell ref="D99:D100"/>
    <mergeCell ref="E99:E100"/>
    <mergeCell ref="F99:F100"/>
    <mergeCell ref="A105:A106"/>
    <mergeCell ref="B105:B106"/>
    <mergeCell ref="C105:C106"/>
    <mergeCell ref="D105:D106"/>
    <mergeCell ref="E105:E106"/>
    <mergeCell ref="F105:F106"/>
    <mergeCell ref="A103:A104"/>
    <mergeCell ref="B103:B104"/>
    <mergeCell ref="C103:C104"/>
    <mergeCell ref="D103:D104"/>
    <mergeCell ref="E103:E104"/>
    <mergeCell ref="F103:F104"/>
    <mergeCell ref="A109:A110"/>
    <mergeCell ref="B109:B110"/>
    <mergeCell ref="C109:C110"/>
    <mergeCell ref="D109:D110"/>
    <mergeCell ref="E109:E110"/>
    <mergeCell ref="F109:F110"/>
    <mergeCell ref="A107:A108"/>
    <mergeCell ref="B107:B108"/>
    <mergeCell ref="C107:C108"/>
    <mergeCell ref="D107:D108"/>
    <mergeCell ref="E107:E108"/>
    <mergeCell ref="F107:F108"/>
    <mergeCell ref="E117:F117"/>
    <mergeCell ref="F113:F114"/>
    <mergeCell ref="A115:A116"/>
    <mergeCell ref="B115:B116"/>
    <mergeCell ref="C115:C116"/>
    <mergeCell ref="D115:D116"/>
    <mergeCell ref="E115:E116"/>
    <mergeCell ref="F115:F116"/>
    <mergeCell ref="B111:B112"/>
    <mergeCell ref="C111:C112"/>
    <mergeCell ref="D111:D112"/>
    <mergeCell ref="E111:E112"/>
    <mergeCell ref="F111:F112"/>
    <mergeCell ref="A113:A114"/>
    <mergeCell ref="B113:B114"/>
    <mergeCell ref="C113:C114"/>
    <mergeCell ref="D113:D114"/>
    <mergeCell ref="E113:E114"/>
  </mergeCells>
  <conditionalFormatting sqref="A16 H84:H95 C87:E87 A91:A111 A113:A116">
    <cfRule type="containsBlanks" dxfId="283" priority="38">
      <formula>LEN(TRIM(A16))=0</formula>
    </cfRule>
  </conditionalFormatting>
  <conditionalFormatting sqref="A83:A89">
    <cfRule type="containsBlanks" dxfId="282" priority="11">
      <formula>LEN(TRIM(A83))=0</formula>
    </cfRule>
  </conditionalFormatting>
  <conditionalFormatting sqref="A48:C48 E48:F48 B49:F49 A51 C51:F51 B52:F52 A54:C54 E54:F54 B55:F55 A57:C57 D57:F58 B58:C58 A60:B60 C60:F61 B61 A63:F63 B64:F64">
    <cfRule type="containsBlanks" dxfId="281" priority="36">
      <formula>LEN(TRIM(A48))=0</formula>
    </cfRule>
  </conditionalFormatting>
  <conditionalFormatting sqref="A6:G6 A8:G8">
    <cfRule type="containsBlanks" dxfId="280" priority="49">
      <formula>LEN(TRIM(A6))=0</formula>
    </cfRule>
  </conditionalFormatting>
  <conditionalFormatting sqref="A14:G14">
    <cfRule type="containsBlanks" dxfId="279" priority="58">
      <formula>LEN(TRIM(A14))=0</formula>
    </cfRule>
  </conditionalFormatting>
  <conditionalFormatting sqref="A18:G18">
    <cfRule type="containsBlanks" dxfId="278" priority="44">
      <formula>LEN(TRIM(A18))=0</formula>
    </cfRule>
  </conditionalFormatting>
  <conditionalFormatting sqref="A20:G20">
    <cfRule type="containsBlanks" dxfId="277" priority="23">
      <formula>LEN(TRIM(A20))=0</formula>
    </cfRule>
  </conditionalFormatting>
  <conditionalFormatting sqref="A22:G22">
    <cfRule type="containsBlanks" dxfId="276" priority="46">
      <formula>LEN(TRIM(A22))=0</formula>
    </cfRule>
  </conditionalFormatting>
  <conditionalFormatting sqref="B83:E83">
    <cfRule type="containsBlanks" dxfId="275" priority="19">
      <formula>LEN(TRIM(B83))=0</formula>
    </cfRule>
  </conditionalFormatting>
  <conditionalFormatting sqref="B85:E85">
    <cfRule type="containsBlanks" dxfId="274" priority="18">
      <formula>LEN(TRIM(B85))=0</formula>
    </cfRule>
  </conditionalFormatting>
  <conditionalFormatting sqref="B95:E95">
    <cfRule type="containsBlanks" dxfId="273" priority="16">
      <formula>LEN(TRIM(B95))=0</formula>
    </cfRule>
  </conditionalFormatting>
  <conditionalFormatting sqref="B97:E97">
    <cfRule type="containsBlanks" dxfId="272" priority="26">
      <formula>LEN(TRIM(B97))=0</formula>
    </cfRule>
  </conditionalFormatting>
  <conditionalFormatting sqref="B99:E99">
    <cfRule type="containsBlanks" dxfId="271" priority="12">
      <formula>LEN(TRIM(B99))=0</formula>
    </cfRule>
  </conditionalFormatting>
  <conditionalFormatting sqref="B101:E101">
    <cfRule type="containsBlanks" dxfId="270" priority="13">
      <formula>LEN(TRIM(B101))=0</formula>
    </cfRule>
  </conditionalFormatting>
  <conditionalFormatting sqref="B103:E103">
    <cfRule type="containsBlanks" dxfId="269" priority="25">
      <formula>LEN(TRIM(B103))=0</formula>
    </cfRule>
  </conditionalFormatting>
  <conditionalFormatting sqref="B105:E105">
    <cfRule type="containsBlanks" dxfId="268" priority="1">
      <formula>LEN(TRIM(B105))=0</formula>
    </cfRule>
  </conditionalFormatting>
  <conditionalFormatting sqref="B109:E109">
    <cfRule type="containsBlanks" dxfId="267" priority="24">
      <formula>LEN(TRIM(B109))=0</formula>
    </cfRule>
  </conditionalFormatting>
  <conditionalFormatting sqref="B111:E111">
    <cfRule type="containsBlanks" dxfId="266" priority="22">
      <formula>LEN(TRIM(B111))=0</formula>
    </cfRule>
  </conditionalFormatting>
  <conditionalFormatting sqref="B113:E113">
    <cfRule type="containsBlanks" dxfId="265" priority="20">
      <formula>LEN(TRIM(B113))=0</formula>
    </cfRule>
  </conditionalFormatting>
  <conditionalFormatting sqref="B115:E115">
    <cfRule type="containsBlanks" dxfId="264" priority="21">
      <formula>LEN(TRIM(B115))=0</formula>
    </cfRule>
  </conditionalFormatting>
  <conditionalFormatting sqref="C91:E91">
    <cfRule type="containsBlanks" dxfId="263" priority="29">
      <formula>LEN(TRIM(C91))=0</formula>
    </cfRule>
  </conditionalFormatting>
  <conditionalFormatting sqref="C93:E93">
    <cfRule type="containsBlanks" dxfId="262" priority="17">
      <formula>LEN(TRIM(C93))=0</formula>
    </cfRule>
  </conditionalFormatting>
  <conditionalFormatting sqref="C10:G10">
    <cfRule type="containsBlanks" dxfId="261" priority="45">
      <formula>LEN(TRIM(C10))=0</formula>
    </cfRule>
  </conditionalFormatting>
  <conditionalFormatting sqref="C16:G16">
    <cfRule type="containsBlanks" dxfId="260" priority="47">
      <formula>LEN(TRIM(C16))=0</formula>
    </cfRule>
  </conditionalFormatting>
  <conditionalFormatting sqref="D1 F1">
    <cfRule type="containsBlanks" dxfId="259" priority="59">
      <formula>LEN(TRIM(D1))=0</formula>
    </cfRule>
  </conditionalFormatting>
  <conditionalFormatting sqref="E89">
    <cfRule type="containsBlanks" dxfId="258" priority="10">
      <formula>LEN(TRIM(E89))=0</formula>
    </cfRule>
  </conditionalFormatting>
  <conditionalFormatting sqref="F83">
    <cfRule type="iconSet" priority="64">
      <iconSet iconSet="5Quarters" showValue="0">
        <cfvo type="percent" val="0"/>
        <cfvo type="num" val="2"/>
        <cfvo type="num" val="3"/>
        <cfvo type="num" val="4"/>
        <cfvo type="num" val="5"/>
      </iconSet>
    </cfRule>
    <cfRule type="expression" dxfId="257" priority="65">
      <formula>AND(#REF!&lt;&gt;"",E83&lt;TODAY(),F83&lt;4)</formula>
    </cfRule>
  </conditionalFormatting>
  <conditionalFormatting sqref="F85">
    <cfRule type="iconSet" priority="66">
      <iconSet iconSet="5Quarters" showValue="0">
        <cfvo type="percent" val="0"/>
        <cfvo type="num" val="2"/>
        <cfvo type="num" val="3"/>
        <cfvo type="num" val="4"/>
        <cfvo type="num" val="5"/>
      </iconSet>
    </cfRule>
    <cfRule type="expression" dxfId="256" priority="67">
      <formula>AND(#REF!&lt;&gt;"",E85&lt;TODAY(),F85&lt;4)</formula>
    </cfRule>
  </conditionalFormatting>
  <conditionalFormatting sqref="F87">
    <cfRule type="expression" dxfId="255" priority="33">
      <formula>AND(#REF!&lt;&gt;"",E87&lt;TODAY(),F87&lt;4)</formula>
    </cfRule>
    <cfRule type="iconSet" priority="32">
      <iconSet iconSet="5Quarters" showValue="0">
        <cfvo type="percent" val="0"/>
        <cfvo type="num" val="2"/>
        <cfvo type="num" val="3"/>
        <cfvo type="num" val="4"/>
        <cfvo type="num" val="5"/>
      </iconSet>
    </cfRule>
  </conditionalFormatting>
  <conditionalFormatting sqref="F89">
    <cfRule type="iconSet" priority="8">
      <iconSet iconSet="5Quarters" showValue="0">
        <cfvo type="percent" val="0"/>
        <cfvo type="num" val="2"/>
        <cfvo type="num" val="3"/>
        <cfvo type="num" val="4"/>
        <cfvo type="num" val="5"/>
      </iconSet>
    </cfRule>
    <cfRule type="expression" dxfId="254" priority="9">
      <formula>AND(#REF!&lt;&gt;"",E89&lt;TODAY(),F89&lt;4)</formula>
    </cfRule>
  </conditionalFormatting>
  <conditionalFormatting sqref="F91 F93 F95">
    <cfRule type="iconSet" priority="30">
      <iconSet iconSet="5Quarters" showValue="0">
        <cfvo type="percent" val="0"/>
        <cfvo type="num" val="2"/>
        <cfvo type="num" val="3"/>
        <cfvo type="num" val="4"/>
        <cfvo type="num" val="5"/>
      </iconSet>
    </cfRule>
    <cfRule type="expression" dxfId="253" priority="31">
      <formula>AND(#REF!&lt;&gt;"",E91&lt;TODAY(),F91&lt;4)</formula>
    </cfRule>
  </conditionalFormatting>
  <conditionalFormatting sqref="F97 F99 F103 F109 F111 F113">
    <cfRule type="expression" dxfId="252" priority="69">
      <formula>AND(#REF!&lt;&gt;"",E97&lt;TODAY(),F97&lt;4)</formula>
    </cfRule>
  </conditionalFormatting>
  <conditionalFormatting sqref="F97 F103 F109 F111 F113 F99">
    <cfRule type="iconSet" priority="68">
      <iconSet iconSet="5Quarters" showValue="0">
        <cfvo type="percent" val="0"/>
        <cfvo type="num" val="2"/>
        <cfvo type="num" val="3"/>
        <cfvo type="num" val="4"/>
        <cfvo type="num" val="5"/>
      </iconSet>
    </cfRule>
  </conditionalFormatting>
  <conditionalFormatting sqref="F101">
    <cfRule type="iconSet" priority="14">
      <iconSet iconSet="5Quarters" showValue="0">
        <cfvo type="percent" val="0"/>
        <cfvo type="num" val="2"/>
        <cfvo type="num" val="3"/>
        <cfvo type="num" val="4"/>
        <cfvo type="num" val="5"/>
      </iconSet>
    </cfRule>
    <cfRule type="expression" dxfId="251" priority="15">
      <formula>AND(#REF!&lt;&gt;"",E101&lt;TODAY(),F101&lt;4)</formula>
    </cfRule>
  </conditionalFormatting>
  <conditionalFormatting sqref="F105">
    <cfRule type="iconSet" priority="6">
      <iconSet iconSet="5Quarters" showValue="0">
        <cfvo type="percent" val="0"/>
        <cfvo type="num" val="2"/>
        <cfvo type="num" val="3"/>
        <cfvo type="num" val="4"/>
        <cfvo type="num" val="5"/>
      </iconSet>
    </cfRule>
    <cfRule type="expression" dxfId="250" priority="7">
      <formula>AND(#REF!&lt;&gt;"",E105&lt;TODAY(),F105&lt;4)</formula>
    </cfRule>
  </conditionalFormatting>
  <conditionalFormatting sqref="F107">
    <cfRule type="expression" dxfId="249" priority="3">
      <formula>AND(#REF!&lt;&gt;"",E107&lt;TODAY(),F107&lt;4)</formula>
    </cfRule>
    <cfRule type="iconSet" priority="2">
      <iconSet iconSet="5Quarters" showValue="0">
        <cfvo type="percent" val="0"/>
        <cfvo type="num" val="2"/>
        <cfvo type="num" val="3"/>
        <cfvo type="num" val="4"/>
        <cfvo type="num" val="5"/>
      </iconSet>
    </cfRule>
  </conditionalFormatting>
  <conditionalFormatting sqref="F115">
    <cfRule type="expression" dxfId="248" priority="28">
      <formula>AND(#REF!&lt;&gt;"",E115&lt;TODAY(),F115&lt;4)</formula>
    </cfRule>
    <cfRule type="iconSet" priority="27">
      <iconSet iconSet="5Quarters" showValue="0">
        <cfvo type="percent" val="0"/>
        <cfvo type="num" val="2"/>
        <cfvo type="num" val="3"/>
        <cfvo type="num" val="4"/>
        <cfvo type="num" val="5"/>
      </iconSet>
    </cfRule>
  </conditionalFormatting>
  <conditionalFormatting sqref="I84:O84 I86:O86 I88:O90 I92:O92 I94:O94">
    <cfRule type="containsBlanks" dxfId="247" priority="37">
      <formula>LEN(TRIM(I84))=0</formula>
    </cfRule>
  </conditionalFormatting>
  <conditionalFormatting sqref="I7:T7 I9:T9 I11:T11">
    <cfRule type="containsBlanks" dxfId="246" priority="39">
      <formula>LEN(TRIM(I7))=0</formula>
    </cfRule>
  </conditionalFormatting>
  <conditionalFormatting sqref="I7:T7 I9:T9 I17:T17 I19:T19 I21:T21 I23:T23">
    <cfRule type="expression" dxfId="245" priority="52">
      <formula>AND(OR($F6="Higher the better", $F6="Higher the Better"), I7&lt;I6)</formula>
    </cfRule>
    <cfRule type="expression" dxfId="244" priority="51">
      <formula>AND(OR($F6="Lower the better", $F6="Lower the Better"), I7&lt;=I6)</formula>
    </cfRule>
    <cfRule type="expression" dxfId="243" priority="53" stopIfTrue="1">
      <formula>AND(OR($F6="Higher the better", $F6="Higher the Better"), I7&gt;=I6)</formula>
    </cfRule>
  </conditionalFormatting>
  <conditionalFormatting sqref="I11:T11">
    <cfRule type="expression" dxfId="242" priority="40">
      <formula>AND(OR($F10="Lower the better", $F10="Lower the Better"), I11&gt;I10)</formula>
    </cfRule>
    <cfRule type="expression" dxfId="241" priority="61">
      <formula>AND(OR($F9="Higher the better", $F9="Higher the Better"), I11&lt;I9)</formula>
    </cfRule>
    <cfRule type="expression" dxfId="240" priority="63">
      <formula>AND(OR($F9="Lower the better", $F9="Lower the Better"), I11&gt;I9)</formula>
    </cfRule>
    <cfRule type="expression" dxfId="239" priority="41">
      <formula>AND(OR($F10="Lower the better", $F10="Lower the Better"), I11&lt;=I10)</formula>
    </cfRule>
    <cfRule type="expression" dxfId="238" priority="62" stopIfTrue="1">
      <formula>AND(OR($F9="Higher the better", $F9="Higher the Better"), I11&gt;=I9)</formula>
    </cfRule>
    <cfRule type="expression" dxfId="237" priority="42">
      <formula>AND(OR($F10="Higher the better", $F10="Higher the Better"), I11&lt;I10)</formula>
    </cfRule>
    <cfRule type="expression" dxfId="236" priority="43" stopIfTrue="1">
      <formula>AND(OR($F10="Higher the better", $F10="Higher the Better"), I11&gt;=I10)</formula>
    </cfRule>
    <cfRule type="expression" dxfId="235" priority="60">
      <formula>AND(OR($F9="Lower the better", $F9="Lower the Better"), I11&lt;=I9)</formula>
    </cfRule>
  </conditionalFormatting>
  <conditionalFormatting sqref="I15:T15 I17:T17 I19:T19 I21:T21 I23:T23">
    <cfRule type="containsBlanks" dxfId="234" priority="48">
      <formula>LEN(TRIM(I15))=0</formula>
    </cfRule>
  </conditionalFormatting>
  <conditionalFormatting sqref="I15:T15">
    <cfRule type="expression" dxfId="233" priority="56">
      <formula>AND(OR($F14="Higher the better", $F14="Higher the Better"), I15&lt;I14)</formula>
    </cfRule>
    <cfRule type="expression" dxfId="232" priority="57" stopIfTrue="1">
      <formula>AND(OR($F14="Higher the better", $F14="Higher the Better"), I15&gt;=I14)</formula>
    </cfRule>
    <cfRule type="expression" dxfId="231" priority="54">
      <formula>AND(OR($F14="Lower the better", $F14="Lower the Better"), I15&gt;I14)</formula>
    </cfRule>
    <cfRule type="expression" dxfId="230" priority="55">
      <formula>AND(OR($F14="Lower the better", $F14="Lower the Better"), I15&lt;=I14)</formula>
    </cfRule>
  </conditionalFormatting>
  <conditionalFormatting sqref="I17:T17 I19:T19 I21:T21 I23:T23 I7:T7 I9:T9">
    <cfRule type="expression" dxfId="229" priority="50">
      <formula>AND(OR($F6="Lower the better", $F6="Lower the Better"), I7&gt;I6)</formula>
    </cfRule>
  </conditionalFormatting>
  <conditionalFormatting sqref="M84:M88 M90:M103">
    <cfRule type="containsText" dxfId="228" priority="35" operator="containsText" text="Yes">
      <formula>NOT(ISERROR(SEARCH("Yes",M84)))</formula>
    </cfRule>
    <cfRule type="containsText" dxfId="227" priority="34" operator="containsText" text="No">
      <formula>NOT(ISERROR(SEARCH("No",M84)))</formula>
    </cfRule>
  </conditionalFormatting>
  <dataValidations count="7">
    <dataValidation type="list" allowBlank="1" showInputMessage="1" showErrorMessage="1" sqref="E6:E11 E14:E23" xr:uid="{09FB5BC1-D899-473A-96F5-14CB64136CC4}">
      <formula1>"%, Mn, No., "</formula1>
    </dataValidation>
    <dataValidation type="list" allowBlank="1" showInputMessage="1" showErrorMessage="1" sqref="B1:B2" xr:uid="{B365FC94-AF2B-42F5-AD35-5D1B0F239BE8}">
      <formula1>"Jan-2026, Feb-2026, Mar-2026, Apr-2026, May-2026, Jun-2026, Jul-2026, Aug-2026, Sep-2026, Oct-2026, Nov-2026, Dec-2026"</formula1>
    </dataValidation>
    <dataValidation type="list" allowBlank="1" showInputMessage="1" showErrorMessage="1" sqref="C6:C11 C14:C23" xr:uid="{3CC7EBF0-0E1F-4D7D-9732-3F1F106D7879}">
      <formula1>"&gt;, &lt;, &gt;=, &lt;=, ="</formula1>
    </dataValidation>
    <dataValidation type="list" allowBlank="1" showInputMessage="1" showErrorMessage="1" sqref="G6:G11 G14:G23" xr:uid="{EA6C557A-CF5C-463E-B5C4-D1A3396362B7}">
      <formula1>"Monthly, Quarterly, Half yearly"</formula1>
    </dataValidation>
    <dataValidation type="list" allowBlank="1" showInputMessage="1" showErrorMessage="1" sqref="F6:F11 F14:F23" xr:uid="{7C28E403-19E4-4620-898E-11AA677E1348}">
      <formula1>"Higher the better, Lower the better"</formula1>
    </dataValidation>
    <dataValidation type="list" allowBlank="1" showInputMessage="1" showErrorMessage="1" sqref="M92 M94 M84 M86 M88 M90" xr:uid="{4C8E69AB-417A-4C31-8549-B09B9C35CA92}">
      <formula1>"Yes, No"</formula1>
    </dataValidation>
    <dataValidation type="list" allowBlank="1" showInputMessage="1" showErrorMessage="1" sqref="F99 F115 F91 F93 F95 F85 F83 F101 F89 F87 G98 F113 G90 F111 F109 G88 F103 G86 F97 G84 F105 F107" xr:uid="{E2DDD05C-E7C2-4EE4-88DE-6DF94C1A6C3B}">
      <formula1>"1,2,3,4,5"</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B42-D00B-4318-A583-2F5EB52BE090}">
  <sheetPr codeName="Sheet9"/>
  <dimension ref="A1:AI156"/>
  <sheetViews>
    <sheetView tabSelected="1" zoomScale="80" zoomScaleNormal="80" workbookViewId="0">
      <selection activeCell="C51" sqref="C51"/>
    </sheetView>
  </sheetViews>
  <sheetFormatPr defaultRowHeight="14.45"/>
  <cols>
    <col min="1" max="1" width="21" customWidth="1"/>
    <col min="2" max="2" width="27.42578125" style="28" customWidth="1"/>
    <col min="3" max="3" width="24" customWidth="1"/>
    <col min="4" max="4" width="19.5703125" customWidth="1"/>
    <col min="5" max="6" width="20.5703125" customWidth="1"/>
    <col min="7" max="7" width="12" customWidth="1"/>
    <col min="8" max="8" width="18.5703125" bestFit="1" customWidth="1"/>
    <col min="9" max="9" width="11.42578125" customWidth="1"/>
    <col min="10" max="10" width="13" customWidth="1"/>
    <col min="11" max="11" width="14.5703125" customWidth="1"/>
    <col min="12" max="12" width="13.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4" width="8.5703125" hidden="1" customWidth="1"/>
    <col min="25" max="25" width="14.42578125" hidden="1" customWidth="1"/>
    <col min="26" max="35" width="8.5703125" hidden="1" customWidth="1"/>
    <col min="36" max="49" width="8.5703125" customWidth="1"/>
  </cols>
  <sheetData>
    <row r="1" spans="1:35" ht="19.350000000000001" customHeight="1">
      <c r="A1" s="12" t="s">
        <v>0</v>
      </c>
      <c r="B1" s="30">
        <v>46023</v>
      </c>
      <c r="C1" s="12" t="s">
        <v>88</v>
      </c>
      <c r="D1" s="12" t="s">
        <v>50</v>
      </c>
      <c r="E1" s="12" t="s">
        <v>89</v>
      </c>
      <c r="F1" s="39" t="s">
        <v>589</v>
      </c>
      <c r="W1" t="s">
        <v>90</v>
      </c>
      <c r="X1" t="e">
        <f>IF(IF($F14="Higher the better",IF(I15&gt;=I14,I15,NA()),IF(I15&lt;=I14,I15,NA()))&lt;&gt;"",IF($F14="Higher the better",IF(I15&gt;=I14,I15,NA()),IF(I15&lt;=I14,I15,NA())),NA())</f>
        <v>#N/A</v>
      </c>
      <c r="Y1" t="e">
        <f t="shared" ref="Y1:AI1" si="0">IF(IF($F14="Higher the better",IF(J15&gt;=J14,J15,NA()),IF(J15&lt;=J14,J15,NA()))&lt;&gt;"",IF($F14="Higher the better",IF(J15&gt;=J14,J15,NA()),IF(J15&lt;=J14,J15,NA())),NA())</f>
        <v>#N/A</v>
      </c>
      <c r="Z1" t="e">
        <f t="shared" si="0"/>
        <v>#N/A</v>
      </c>
      <c r="AA1" t="e">
        <f t="shared" si="0"/>
        <v>#N/A</v>
      </c>
      <c r="AB1" t="e">
        <f t="shared" si="0"/>
        <v>#N/A</v>
      </c>
      <c r="AC1" t="e">
        <f t="shared" si="0"/>
        <v>#N/A</v>
      </c>
      <c r="AD1" t="e">
        <f t="shared" si="0"/>
        <v>#N/A</v>
      </c>
      <c r="AE1" t="e">
        <f t="shared" si="0"/>
        <v>#N/A</v>
      </c>
      <c r="AF1" t="e">
        <f t="shared" si="0"/>
        <v>#N/A</v>
      </c>
      <c r="AG1" t="e">
        <f t="shared" si="0"/>
        <v>#N/A</v>
      </c>
      <c r="AH1" t="e">
        <f t="shared" si="0"/>
        <v>#N/A</v>
      </c>
      <c r="AI1" t="e">
        <f t="shared" si="0"/>
        <v>#N/A</v>
      </c>
    </row>
    <row r="2" spans="1:35" ht="19.350000000000001" customHeight="1">
      <c r="A2" s="13"/>
      <c r="B2" s="37"/>
      <c r="D2" s="13"/>
      <c r="E2" s="13"/>
      <c r="W2" t="s">
        <v>91</v>
      </c>
      <c r="X2">
        <f>IF(IF($F14="Higher the better",IF(I15&lt;I14,I15,NA()),IF(I15&gt;I14,I15,NA()))&lt;&gt;"",IF($F14="Higher the better",IF(I15&lt;I14,I15,NA()),IF(I15&gt;I14,I15,NA())),NA())</f>
        <v>0.51900000000000002</v>
      </c>
      <c r="Y2">
        <f t="shared" ref="Y2:AI2" si="1">IF(IF($F14="Higher the better",IF(J15&lt;J14,J15,NA()),IF(J15&gt;J14,J15,NA()))&lt;&gt;"",IF($F14="Higher the better",IF(J15&lt;J14,J15,NA()),IF(J15&gt;J14,J15,NA())),NA())</f>
        <v>0.52100000000000002</v>
      </c>
      <c r="Z2">
        <f t="shared" si="1"/>
        <v>0.53100000000000003</v>
      </c>
      <c r="AA2">
        <f t="shared" si="1"/>
        <v>0.53500000000000003</v>
      </c>
      <c r="AB2">
        <f t="shared" si="1"/>
        <v>0.53600000000000003</v>
      </c>
      <c r="AC2">
        <f t="shared" si="1"/>
        <v>0.53700000000000003</v>
      </c>
      <c r="AD2">
        <f t="shared" si="1"/>
        <v>0.53600000000000003</v>
      </c>
      <c r="AE2" t="e">
        <f t="shared" si="1"/>
        <v>#N/A</v>
      </c>
      <c r="AF2" t="e">
        <f t="shared" si="1"/>
        <v>#N/A</v>
      </c>
      <c r="AG2" t="e">
        <f t="shared" si="1"/>
        <v>#N/A</v>
      </c>
      <c r="AH2" t="e">
        <f t="shared" si="1"/>
        <v>#N/A</v>
      </c>
      <c r="AI2" t="e">
        <f t="shared" si="1"/>
        <v>#N/A</v>
      </c>
    </row>
    <row r="3" spans="1:35" ht="20.100000000000001" customHeight="1">
      <c r="A3" s="347" t="s">
        <v>590</v>
      </c>
      <c r="B3" s="347"/>
      <c r="W3" t="s">
        <v>90</v>
      </c>
      <c r="X3" t="e">
        <f t="shared" ref="X3" si="2">IF(IF($F16="Higher the better",IF(I17&gt;=I16,I17,NA()),IF(I17&lt;=I16,I17,NA()))&lt;&gt;"",IF($F16="Higher the better",IF(I17&gt;=I16,I17,NA()),IF(I17&lt;=I16,I17,NA())),NA())</f>
        <v>#N/A</v>
      </c>
      <c r="Y3" t="e">
        <f t="shared" ref="Y3" si="3">IF(IF($F16="Higher the better",IF(J17&gt;=J16,J17,NA()),IF(J17&lt;=J16,J17,NA()))&lt;&gt;"",IF($F16="Higher the better",IF(J17&gt;=J16,J17,NA()),IF(J17&lt;=J16,J17,NA())),NA())</f>
        <v>#N/A</v>
      </c>
      <c r="Z3" t="e">
        <f t="shared" ref="Z3" si="4">IF(IF($F16="Higher the better",IF(K17&gt;=K16,K17,NA()),IF(K17&lt;=K16,K17,NA()))&lt;&gt;"",IF($F16="Higher the better",IF(K17&gt;=K16,K17,NA()),IF(K17&lt;=K16,K17,NA())),NA())</f>
        <v>#N/A</v>
      </c>
      <c r="AA3" t="e">
        <f t="shared" ref="AA3" si="5">IF(IF($F16="Higher the better",IF(L17&gt;=L16,L17,NA()),IF(L17&lt;=L16,L17,NA()))&lt;&gt;"",IF($F16="Higher the better",IF(L17&gt;=L16,L17,NA()),IF(L17&lt;=L16,L17,NA())),NA())</f>
        <v>#N/A</v>
      </c>
      <c r="AB3" t="e">
        <f t="shared" ref="AB3" si="6">IF(IF($F16="Higher the better",IF(M17&gt;=M16,M17,NA()),IF(M17&lt;=M16,M17,NA()))&lt;&gt;"",IF($F16="Higher the better",IF(M17&gt;=M16,M17,NA()),IF(M17&lt;=M16,M17,NA())),NA())</f>
        <v>#N/A</v>
      </c>
      <c r="AC3">
        <f t="shared" ref="AC3" si="7">IF(IF($F16="Higher the better",IF(N17&gt;=N16,N17,NA()),IF(N17&lt;=N16,N17,NA()))&lt;&gt;"",IF($F16="Higher the better",IF(N17&gt;=N16,N17,NA()),IF(N17&lt;=N16,N17,NA())),NA())</f>
        <v>0.42</v>
      </c>
      <c r="AD3">
        <f t="shared" ref="AD3" si="8">IF(IF($F16="Higher the better",IF(O17&gt;=O16,O17,NA()),IF(O17&lt;=O16,O17,NA()))&lt;&gt;"",IF($F16="Higher the better",IF(O17&gt;=O16,O17,NA()),IF(O17&lt;=O16,O17,NA())),NA())</f>
        <v>0.41399999999999998</v>
      </c>
      <c r="AE3" t="e">
        <f t="shared" ref="AE3" si="9">IF(IF($F16="Higher the better",IF(P17&gt;=P16,P17,NA()),IF(P17&lt;=P16,P17,NA()))&lt;&gt;"",IF($F16="Higher the better",IF(P17&gt;=P16,P17,NA()),IF(P17&lt;=P16,P17,NA())),NA())</f>
        <v>#N/A</v>
      </c>
      <c r="AF3" t="e">
        <f t="shared" ref="AF3" si="10">IF(IF($F16="Higher the better",IF(Q17&gt;=Q16,Q17,NA()),IF(Q17&lt;=Q16,Q17,NA()))&lt;&gt;"",IF($F16="Higher the better",IF(Q17&gt;=Q16,Q17,NA()),IF(Q17&lt;=Q16,Q17,NA())),NA())</f>
        <v>#N/A</v>
      </c>
      <c r="AG3" t="e">
        <f t="shared" ref="AG3" si="11">IF(IF($F16="Higher the better",IF(R17&gt;=R16,R17,NA()),IF(R17&lt;=R16,R17,NA()))&lt;&gt;"",IF($F16="Higher the better",IF(R17&gt;=R16,R17,NA()),IF(R17&lt;=R16,R17,NA())),NA())</f>
        <v>#N/A</v>
      </c>
      <c r="AH3" t="e">
        <f t="shared" ref="AH3" si="12">IF(IF($F16="Higher the better",IF(S17&gt;=S16,S17,NA()),IF(S17&lt;=S16,S17,NA()))&lt;&gt;"",IF($F16="Higher the better",IF(S17&gt;=S16,S17,NA()),IF(S17&lt;=S16,S17,NA())),NA())</f>
        <v>#N/A</v>
      </c>
      <c r="AI3" t="e">
        <f t="shared" ref="AI3" si="13">IF(IF($F16="Higher the better",IF(T17&gt;=T16,T17,NA()),IF(T17&lt;=T16,T17,NA()))&lt;&gt;"",IF($F16="Higher the better",IF(T17&gt;=T16,T17,NA()),IF(T17&lt;=T16,T17,NA())),NA())</f>
        <v>#N/A</v>
      </c>
    </row>
    <row r="4" spans="1:35" ht="18.600000000000001" customHeight="1">
      <c r="A4" s="11" t="s">
        <v>93</v>
      </c>
      <c r="B4" s="11"/>
      <c r="W4" t="s">
        <v>91</v>
      </c>
      <c r="X4">
        <f t="shared" ref="X4" si="14">IF(IF($F16="Higher the better",IF(I17&lt;I16,I17,NA()),IF(I17&gt;I16,I17,NA()))&lt;&gt;"",IF($F16="Higher the better",IF(I17&lt;I16,I17,NA()),IF(I17&gt;I16,I17,NA())),NA())</f>
        <v>0.217</v>
      </c>
      <c r="Y4">
        <f t="shared" ref="Y4" si="15">IF(IF($F16="Higher the better",IF(J17&lt;J16,J17,NA()),IF(J17&gt;J16,J17,NA()))&lt;&gt;"",IF($F16="Higher the better",IF(J17&lt;J16,J17,NA()),IF(J17&gt;J16,J17,NA())),NA())</f>
        <v>0.28599999999999998</v>
      </c>
      <c r="Z4">
        <f t="shared" ref="Z4" si="16">IF(IF($F16="Higher the better",IF(K17&lt;K16,K17,NA()),IF(K17&gt;K16,K17,NA()))&lt;&gt;"",IF($F16="Higher the better",IF(K17&lt;K16,K17,NA()),IF(K17&gt;K16,K17,NA())),NA())</f>
        <v>0.31</v>
      </c>
      <c r="AA4">
        <f t="shared" ref="AA4" si="17">IF(IF($F16="Higher the better",IF(L17&lt;L16,L17,NA()),IF(L17&gt;L16,L17,NA()))&lt;&gt;"",IF($F16="Higher the better",IF(L17&lt;L16,L17,NA()),IF(L17&gt;L16,L17,NA())),NA())</f>
        <v>0.31</v>
      </c>
      <c r="AB4">
        <f t="shared" ref="AB4" si="18">IF(IF($F16="Higher the better",IF(M17&lt;M16,M17,NA()),IF(M17&gt;M16,M17,NA()))&lt;&gt;"",IF($F16="Higher the better",IF(M17&lt;M16,M17,NA()),IF(M17&gt;M16,M17,NA())),NA())</f>
        <v>0.32</v>
      </c>
      <c r="AC4" t="e">
        <f t="shared" ref="AC4" si="19">IF(IF($F16="Higher the better",IF(N17&lt;N16,N17,NA()),IF(N17&gt;N16,N17,NA()))&lt;&gt;"",IF($F16="Higher the better",IF(N17&lt;N16,N17,NA()),IF(N17&gt;N16,N17,NA())),NA())</f>
        <v>#N/A</v>
      </c>
      <c r="AD4" t="e">
        <f t="shared" ref="AD4" si="20">IF(IF($F16="Higher the better",IF(O17&lt;O16,O17,NA()),IF(O17&gt;O16,O17,NA()))&lt;&gt;"",IF($F16="Higher the better",IF(O17&lt;O16,O17,NA()),IF(O17&gt;O16,O17,NA())),NA())</f>
        <v>#N/A</v>
      </c>
      <c r="AE4" t="e">
        <f t="shared" ref="AE4" si="21">IF(IF($F16="Higher the better",IF(P17&lt;P16,P17,NA()),IF(P17&gt;P16,P17,NA()))&lt;&gt;"",IF($F16="Higher the better",IF(P17&lt;P16,P17,NA()),IF(P17&gt;P16,P17,NA())),NA())</f>
        <v>#N/A</v>
      </c>
      <c r="AF4" t="e">
        <f t="shared" ref="AF4" si="22">IF(IF($F16="Higher the better",IF(Q17&lt;Q16,Q17,NA()),IF(Q17&gt;Q16,Q17,NA()))&lt;&gt;"",IF($F16="Higher the better",IF(Q17&lt;Q16,Q17,NA()),IF(Q17&gt;Q16,Q17,NA())),NA())</f>
        <v>#N/A</v>
      </c>
      <c r="AG4" t="e">
        <f t="shared" ref="AG4" si="23">IF(IF($F16="Higher the better",IF(R17&lt;R16,R17,NA()),IF(R17&gt;R16,R17,NA()))&lt;&gt;"",IF($F16="Higher the better",IF(R17&lt;R16,R17,NA()),IF(R17&gt;R16,R17,NA())),NA())</f>
        <v>#N/A</v>
      </c>
      <c r="AH4" t="e">
        <f t="shared" ref="AH4" si="24">IF(IF($F16="Higher the better",IF(S17&lt;S16,S17,NA()),IF(S17&gt;S16,S17,NA()))&lt;&gt;"",IF($F16="Higher the better",IF(S17&lt;S16,S17,NA()),IF(S17&gt;S16,S17,NA())),NA())</f>
        <v>#N/A</v>
      </c>
      <c r="AI4" t="e">
        <f t="shared" ref="AI4" si="25">IF(IF($F16="Higher the better",IF(T17&lt;T16,T17,NA()),IF(T17&gt;T16,T17,NA()))&lt;&gt;"",IF($F16="Higher the better",IF(T17&lt;T16,T17,NA()),IF(T17&gt;T16,T17,NA())),NA())</f>
        <v>#N/A</v>
      </c>
    </row>
    <row r="5" spans="1:35"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f t="shared" ref="X5" si="26">IF(IF($F18="Higher the better",IF(I19&gt;=I18,I19,NA()),IF(I19&lt;=I18,I19,NA()))&lt;&gt;"",IF($F18="Higher the better",IF(I19&gt;=I18,I19,NA()),IF(I19&lt;=I18,I19,NA())),NA())</f>
        <v>7.0000000000000007E-2</v>
      </c>
      <c r="Y5">
        <f t="shared" ref="Y5" si="27">IF(IF($F18="Higher the better",IF(J19&gt;=J18,J19,NA()),IF(J19&lt;=J18,J19,NA()))&lt;&gt;"",IF($F18="Higher the better",IF(J19&gt;=J18,J19,NA()),IF(J19&lt;=J18,J19,NA())),NA())</f>
        <v>7.0000000000000007E-2</v>
      </c>
      <c r="Z5">
        <f t="shared" ref="Z5" si="28">IF(IF($F18="Higher the better",IF(K19&gt;=K18,K19,NA()),IF(K19&lt;=K18,K19,NA()))&lt;&gt;"",IF($F18="Higher the better",IF(K19&gt;=K18,K19,NA()),IF(K19&lt;=K18,K19,NA())),NA())</f>
        <v>0.24</v>
      </c>
      <c r="AA5">
        <f t="shared" ref="AA5" si="29">IF(IF($F18="Higher the better",IF(L19&gt;=L18,L19,NA()),IF(L19&lt;=L18,L19,NA()))&lt;&gt;"",IF($F18="Higher the better",IF(L19&gt;=L18,L19,NA()),IF(L19&lt;=L18,L19,NA())),NA())</f>
        <v>0.32</v>
      </c>
      <c r="AB5">
        <f t="shared" ref="AB5" si="30">IF(IF($F18="Higher the better",IF(M19&gt;=M18,M19,NA()),IF(M19&lt;=M18,M19,NA()))&lt;&gt;"",IF($F18="Higher the better",IF(M19&gt;=M18,M19,NA()),IF(M19&lt;=M18,M19,NA())),NA())</f>
        <v>0.4</v>
      </c>
      <c r="AC5">
        <f t="shared" ref="AC5" si="31">IF(IF($F18="Higher the better",IF(N19&gt;=N18,N19,NA()),IF(N19&lt;=N18,N19,NA()))&lt;&gt;"",IF($F18="Higher the better",IF(N19&gt;=N18,N19,NA()),IF(N19&lt;=N18,N19,NA())),NA())</f>
        <v>0.53</v>
      </c>
      <c r="AD5">
        <f t="shared" ref="AD5" si="32">IF(IF($F18="Higher the better",IF(O19&gt;=O18,O19,NA()),IF(O19&lt;=O18,O19,NA()))&lt;&gt;"",IF($F18="Higher the better",IF(O19&gt;=O18,O19,NA()),IF(O19&lt;=O18,O19,NA())),NA())</f>
        <v>0.53</v>
      </c>
      <c r="AE5" t="e">
        <f t="shared" ref="AE5" si="33">IF(IF($F18="Higher the better",IF(P19&gt;=P18,P19,NA()),IF(P19&lt;=P18,P19,NA()))&lt;&gt;"",IF($F18="Higher the better",IF(P19&gt;=P18,P19,NA()),IF(P19&lt;=P18,P19,NA())),NA())</f>
        <v>#N/A</v>
      </c>
      <c r="AF5" t="e">
        <f t="shared" ref="AF5" si="34">IF(IF($F18="Higher the better",IF(Q19&gt;=Q18,Q19,NA()),IF(Q19&lt;=Q18,Q19,NA()))&lt;&gt;"",IF($F18="Higher the better",IF(Q19&gt;=Q18,Q19,NA()),IF(Q19&lt;=Q18,Q19,NA())),NA())</f>
        <v>#N/A</v>
      </c>
      <c r="AG5" t="e">
        <f t="shared" ref="AG5" si="35">IF(IF($F18="Higher the better",IF(R19&gt;=R18,R19,NA()),IF(R19&lt;=R18,R19,NA()))&lt;&gt;"",IF($F18="Higher the better",IF(R19&gt;=R18,R19,NA()),IF(R19&lt;=R18,R19,NA())),NA())</f>
        <v>#N/A</v>
      </c>
      <c r="AH5" t="e">
        <f t="shared" ref="AH5" si="36">IF(IF($F18="Higher the better",IF(S19&gt;=S18,S19,NA()),IF(S19&lt;=S18,S19,NA()))&lt;&gt;"",IF($F18="Higher the better",IF(S19&gt;=S18,S19,NA()),IF(S19&lt;=S18,S19,NA())),NA())</f>
        <v>#N/A</v>
      </c>
      <c r="AI5" t="e">
        <f t="shared" ref="AI5" si="37">IF(IF($F18="Higher the better",IF(T19&gt;=T18,T19,NA()),IF(T19&lt;=T18,T19,NA()))&lt;&gt;"",IF($F18="Higher the better",IF(T19&gt;=T18,T19,NA()),IF(T19&lt;=T18,T19,NA())),NA())</f>
        <v>#N/A</v>
      </c>
    </row>
    <row r="6" spans="1:35">
      <c r="A6" s="348" t="s">
        <v>591</v>
      </c>
      <c r="B6" s="350" t="s">
        <v>592</v>
      </c>
      <c r="C6" s="328" t="s">
        <v>97</v>
      </c>
      <c r="D6" s="351">
        <v>0.79</v>
      </c>
      <c r="E6" s="328" t="s">
        <v>98</v>
      </c>
      <c r="F6" s="336" t="s">
        <v>99</v>
      </c>
      <c r="G6" s="328" t="s">
        <v>593</v>
      </c>
      <c r="H6" s="14" t="s">
        <v>29</v>
      </c>
      <c r="I6" s="51"/>
      <c r="J6" s="51"/>
      <c r="K6" s="51">
        <v>0.79</v>
      </c>
      <c r="L6" s="216"/>
      <c r="M6" s="51"/>
      <c r="N6" s="51">
        <v>0.79</v>
      </c>
      <c r="O6" s="51"/>
      <c r="P6" s="51"/>
      <c r="Q6" s="51">
        <v>0.79</v>
      </c>
      <c r="R6" s="51"/>
      <c r="S6" s="51"/>
      <c r="T6" s="51">
        <v>0.79</v>
      </c>
      <c r="W6" t="s">
        <v>91</v>
      </c>
      <c r="X6" t="e">
        <f t="shared" ref="X6" si="38">IF(IF($F18="Higher the better",IF(I19&lt;I18,I19,NA()),IF(I19&gt;I18,I19,NA()))&lt;&gt;"",IF($F18="Higher the better",IF(I19&lt;I18,I19,NA()),IF(I19&gt;I18,I19,NA())),NA())</f>
        <v>#N/A</v>
      </c>
      <c r="Y6" t="e">
        <f t="shared" ref="Y6" si="39">IF(IF($F18="Higher the better",IF(J19&lt;J18,J19,NA()),IF(J19&gt;J18,J19,NA()))&lt;&gt;"",IF($F18="Higher the better",IF(J19&lt;J18,J19,NA()),IF(J19&gt;J18,J19,NA())),NA())</f>
        <v>#N/A</v>
      </c>
      <c r="Z6" t="e">
        <f t="shared" ref="Z6" si="40">IF(IF($F18="Higher the better",IF(K19&lt;K18,K19,NA()),IF(K19&gt;K18,K19,NA()))&lt;&gt;"",IF($F18="Higher the better",IF(K19&lt;K18,K19,NA()),IF(K19&gt;K18,K19,NA())),NA())</f>
        <v>#N/A</v>
      </c>
      <c r="AA6" t="e">
        <f t="shared" ref="AA6" si="41">IF(IF($F18="Higher the better",IF(L19&lt;L18,L19,NA()),IF(L19&gt;L18,L19,NA()))&lt;&gt;"",IF($F18="Higher the better",IF(L19&lt;L18,L19,NA()),IF(L19&gt;L18,L19,NA())),NA())</f>
        <v>#N/A</v>
      </c>
      <c r="AB6" t="e">
        <f t="shared" ref="AB6" si="42">IF(IF($F18="Higher the better",IF(M19&lt;M18,M19,NA()),IF(M19&gt;M18,M19,NA()))&lt;&gt;"",IF($F18="Higher the better",IF(M19&lt;M18,M19,NA()),IF(M19&gt;M18,M19,NA())),NA())</f>
        <v>#N/A</v>
      </c>
      <c r="AC6" t="e">
        <f t="shared" ref="AC6" si="43">IF(IF($F18="Higher the better",IF(N19&lt;N18,N19,NA()),IF(N19&gt;N18,N19,NA()))&lt;&gt;"",IF($F18="Higher the better",IF(N19&lt;N18,N19,NA()),IF(N19&gt;N18,N19,NA())),NA())</f>
        <v>#N/A</v>
      </c>
      <c r="AD6" t="e">
        <f t="shared" ref="AD6" si="44">IF(IF($F18="Higher the better",IF(O19&lt;O18,O19,NA()),IF(O19&gt;O18,O19,NA()))&lt;&gt;"",IF($F18="Higher the better",IF(O19&lt;O18,O19,NA()),IF(O19&gt;O18,O19,NA())),NA())</f>
        <v>#N/A</v>
      </c>
      <c r="AE6" t="e">
        <f t="shared" ref="AE6" si="45">IF(IF($F18="Higher the better",IF(P19&lt;P18,P19,NA()),IF(P19&gt;P18,P19,NA()))&lt;&gt;"",IF($F18="Higher the better",IF(P19&lt;P18,P19,NA()),IF(P19&gt;P18,P19,NA())),NA())</f>
        <v>#N/A</v>
      </c>
      <c r="AF6" t="e">
        <f t="shared" ref="AF6" si="46">IF(IF($F18="Higher the better",IF(Q19&lt;Q18,Q19,NA()),IF(Q19&gt;Q18,Q19,NA()))&lt;&gt;"",IF($F18="Higher the better",IF(Q19&lt;Q18,Q19,NA()),IF(Q19&gt;Q18,Q19,NA())),NA())</f>
        <v>#N/A</v>
      </c>
      <c r="AG6" t="e">
        <f t="shared" ref="AG6" si="47">IF(IF($F18="Higher the better",IF(R19&lt;R18,R19,NA()),IF(R19&gt;R18,R19,NA()))&lt;&gt;"",IF($F18="Higher the better",IF(R19&lt;R18,R19,NA()),IF(R19&gt;R18,R19,NA())),NA())</f>
        <v>#N/A</v>
      </c>
      <c r="AH6" t="e">
        <f t="shared" ref="AH6" si="48">IF(IF($F18="Higher the better",IF(S19&lt;S18,S19,NA()),IF(S19&gt;S18,S19,NA()))&lt;&gt;"",IF($F18="Higher the better",IF(S19&lt;S18,S19,NA()),IF(S19&gt;S18,S19,NA())),NA())</f>
        <v>#N/A</v>
      </c>
      <c r="AI6" t="e">
        <f t="shared" ref="AI6" si="49">IF(IF($F18="Higher the better",IF(T19&lt;T18,T19,NA()),IF(T19&gt;T18,T19,NA()))&lt;&gt;"",IF($F18="Higher the better",IF(T19&lt;T18,T19,NA()),IF(T19&gt;T18,T19,NA())),NA())</f>
        <v>#N/A</v>
      </c>
    </row>
    <row r="7" spans="1:35">
      <c r="A7" s="349"/>
      <c r="B7" s="344"/>
      <c r="C7" s="329"/>
      <c r="D7" s="352"/>
      <c r="E7" s="329"/>
      <c r="F7" s="333"/>
      <c r="G7" s="329"/>
      <c r="H7" s="14" t="s">
        <v>30</v>
      </c>
      <c r="I7" s="67"/>
      <c r="J7" s="67"/>
      <c r="K7" s="67">
        <v>0.92</v>
      </c>
      <c r="L7" s="125"/>
      <c r="M7" s="45"/>
      <c r="N7" s="5">
        <v>0.91</v>
      </c>
      <c r="O7" s="45"/>
      <c r="P7" s="45"/>
      <c r="Q7" s="45"/>
      <c r="R7" s="45"/>
      <c r="S7" s="45"/>
      <c r="T7" s="45"/>
      <c r="W7" t="s">
        <v>90</v>
      </c>
      <c r="X7">
        <f t="shared" ref="X7" si="50">IF(IF($F20="Higher the better",IF(I21&gt;=I20,I21,NA()),IF(I21&lt;=I20,I21,NA()))&lt;&gt;"",IF($F20="Higher the better",IF(I21&gt;=I20,I21,NA()),IF(I21&lt;=I20,I21,NA())),NA())</f>
        <v>0.01</v>
      </c>
      <c r="Y7">
        <f t="shared" ref="Y7" si="51">IF(IF($F20="Higher the better",IF(J21&gt;=J20,J21,NA()),IF(J21&lt;=J20,J21,NA()))&lt;&gt;"",IF($F20="Higher the better",IF(J21&gt;=J20,J21,NA()),IF(J21&lt;=J20,J21,NA())),NA())</f>
        <v>0.03</v>
      </c>
      <c r="Z7">
        <f t="shared" ref="Z7" si="52">IF(IF($F20="Higher the better",IF(K21&gt;=K20,K21,NA()),IF(K21&lt;=K20,K21,NA()))&lt;&gt;"",IF($F20="Higher the better",IF(K21&gt;=K20,K21,NA()),IF(K21&lt;=K20,K21,NA())),NA())</f>
        <v>8.5000000000000006E-2</v>
      </c>
      <c r="AA7">
        <f t="shared" ref="AA7" si="53">IF(IF($F20="Higher the better",IF(L21&gt;=L20,L21,NA()),IF(L21&lt;=L20,L21,NA()))&lt;&gt;"",IF($F20="Higher the better",IF(L21&gt;=L20,L21,NA()),IF(L21&lt;=L20,L21,NA())),NA())</f>
        <v>0.16</v>
      </c>
      <c r="AB7">
        <f t="shared" ref="AB7" si="54">IF(IF($F20="Higher the better",IF(M21&gt;=M20,M21,NA()),IF(M21&lt;=M20,M21,NA()))&lt;&gt;"",IF($F20="Higher the better",IF(M21&gt;=M20,M21,NA()),IF(M21&lt;=M20,M21,NA())),NA())</f>
        <v>0.23</v>
      </c>
      <c r="AC7">
        <f t="shared" ref="AC7" si="55">IF(IF($F20="Higher the better",IF(N21&gt;=N20,N21,NA()),IF(N21&lt;=N20,N21,NA()))&lt;&gt;"",IF($F20="Higher the better",IF(N21&gt;=N20,N21,NA()),IF(N21&lt;=N20,N21,NA())),NA())</f>
        <v>0.3</v>
      </c>
      <c r="AD7">
        <f t="shared" ref="AD7" si="56">IF(IF($F20="Higher the better",IF(O21&gt;=O20,O21,NA()),IF(O21&lt;=O20,O21,NA()))&lt;&gt;"",IF($F20="Higher the better",IF(O21&gt;=O20,O21,NA()),IF(O21&lt;=O20,O21,NA())),NA())</f>
        <v>0.44</v>
      </c>
      <c r="AE7" t="e">
        <f t="shared" ref="AE7" si="57">IF(IF($F20="Higher the better",IF(P21&gt;=P20,P21,NA()),IF(P21&lt;=P20,P21,NA()))&lt;&gt;"",IF($F20="Higher the better",IF(P21&gt;=P20,P21,NA()),IF(P21&lt;=P20,P21,NA())),NA())</f>
        <v>#N/A</v>
      </c>
      <c r="AF7" t="e">
        <f t="shared" ref="AF7" si="58">IF(IF($F20="Higher the better",IF(Q21&gt;=Q20,Q21,NA()),IF(Q21&lt;=Q20,Q21,NA()))&lt;&gt;"",IF($F20="Higher the better",IF(Q21&gt;=Q20,Q21,NA()),IF(Q21&lt;=Q20,Q21,NA())),NA())</f>
        <v>#N/A</v>
      </c>
      <c r="AG7" t="e">
        <f t="shared" ref="AG7" si="59">IF(IF($F20="Higher the better",IF(R21&gt;=R20,R21,NA()),IF(R21&lt;=R20,R21,NA()))&lt;&gt;"",IF($F20="Higher the better",IF(R21&gt;=R20,R21,NA()),IF(R21&lt;=R20,R21,NA())),NA())</f>
        <v>#N/A</v>
      </c>
      <c r="AH7" t="e">
        <f t="shared" ref="AH7" si="60">IF(IF($F20="Higher the better",IF(S21&gt;=S20,S21,NA()),IF(S21&lt;=S20,S21,NA()))&lt;&gt;"",IF($F20="Higher the better",IF(S21&gt;=S20,S21,NA()),IF(S21&lt;=S20,S21,NA())),NA())</f>
        <v>#N/A</v>
      </c>
      <c r="AI7" t="e">
        <f t="shared" ref="AI7" si="61">IF(IF($F20="Higher the better",IF(T21&gt;=T20,T21,NA()),IF(T21&lt;=T20,T21,NA()))&lt;&gt;"",IF($F20="Higher the better",IF(T21&gt;=T20,T21,NA()),IF(T21&lt;=T20,T21,NA())),NA())</f>
        <v>#N/A</v>
      </c>
    </row>
    <row r="8" spans="1:35" ht="13.5" customHeight="1">
      <c r="A8" s="348" t="s">
        <v>594</v>
      </c>
      <c r="B8" s="348" t="s">
        <v>595</v>
      </c>
      <c r="C8" s="328" t="s">
        <v>97</v>
      </c>
      <c r="D8" s="328">
        <v>77.400000000000006</v>
      </c>
      <c r="E8" s="328" t="s">
        <v>247</v>
      </c>
      <c r="F8" s="336" t="s">
        <v>99</v>
      </c>
      <c r="G8" s="328" t="s">
        <v>55</v>
      </c>
      <c r="H8" s="14" t="s">
        <v>29</v>
      </c>
      <c r="I8" s="44">
        <v>5.87</v>
      </c>
      <c r="J8" s="44">
        <v>11.52</v>
      </c>
      <c r="K8" s="44">
        <v>18</v>
      </c>
      <c r="L8" s="44">
        <v>24.1</v>
      </c>
      <c r="M8" s="44">
        <v>30.33</v>
      </c>
      <c r="N8" s="44">
        <v>36.89</v>
      </c>
      <c r="O8" s="44">
        <v>43.25</v>
      </c>
      <c r="P8" s="44"/>
      <c r="Q8" s="44"/>
      <c r="R8" s="44"/>
      <c r="S8" s="44"/>
      <c r="T8" s="44"/>
      <c r="W8" t="s">
        <v>91</v>
      </c>
      <c r="X8" t="e">
        <f t="shared" ref="X8" si="62">IF(IF($F20="Higher the better",IF(I21&lt;I20,I21,NA()),IF(I21&gt;I20,I21,NA()))&lt;&gt;"",IF($F20="Higher the better",IF(I21&lt;I20,I21,NA()),IF(I21&gt;I20,I21,NA())),NA())</f>
        <v>#N/A</v>
      </c>
      <c r="Y8" t="e">
        <f t="shared" ref="Y8" si="63">IF(IF($F20="Higher the better",IF(J21&lt;J20,J21,NA()),IF(J21&gt;J20,J21,NA()))&lt;&gt;"",IF($F20="Higher the better",IF(J21&lt;J20,J21,NA()),IF(J21&gt;J20,J21,NA())),NA())</f>
        <v>#N/A</v>
      </c>
      <c r="Z8" t="e">
        <f t="shared" ref="Z8" si="64">IF(IF($F20="Higher the better",IF(K21&lt;K20,K21,NA()),IF(K21&gt;K20,K21,NA()))&lt;&gt;"",IF($F20="Higher the better",IF(K21&lt;K20,K21,NA()),IF(K21&gt;K20,K21,NA())),NA())</f>
        <v>#N/A</v>
      </c>
      <c r="AA8" t="e">
        <f t="shared" ref="AA8" si="65">IF(IF($F20="Higher the better",IF(L21&lt;L20,L21,NA()),IF(L21&gt;L20,L21,NA()))&lt;&gt;"",IF($F20="Higher the better",IF(L21&lt;L20,L21,NA()),IF(L21&gt;L20,L21,NA())),NA())</f>
        <v>#N/A</v>
      </c>
      <c r="AB8" t="e">
        <f t="shared" ref="AB8" si="66">IF(IF($F20="Higher the better",IF(M21&lt;M20,M21,NA()),IF(M21&gt;M20,M21,NA()))&lt;&gt;"",IF($F20="Higher the better",IF(M21&lt;M20,M21,NA()),IF(M21&gt;M20,M21,NA())),NA())</f>
        <v>#N/A</v>
      </c>
      <c r="AC8" t="e">
        <f t="shared" ref="AC8" si="67">IF(IF($F20="Higher the better",IF(N21&lt;N20,N21,NA()),IF(N21&gt;N20,N21,NA()))&lt;&gt;"",IF($F20="Higher the better",IF(N21&lt;N20,N21,NA()),IF(N21&gt;N20,N21,NA())),NA())</f>
        <v>#N/A</v>
      </c>
      <c r="AD8" t="e">
        <f t="shared" ref="AD8" si="68">IF(IF($F20="Higher the better",IF(O21&lt;O20,O21,NA()),IF(O21&gt;O20,O21,NA()))&lt;&gt;"",IF($F20="Higher the better",IF(O21&lt;O20,O21,NA()),IF(O21&gt;O20,O21,NA())),NA())</f>
        <v>#N/A</v>
      </c>
      <c r="AE8" t="e">
        <f t="shared" ref="AE8" si="69">IF(IF($F20="Higher the better",IF(P21&lt;P20,P21,NA()),IF(P21&gt;P20,P21,NA()))&lt;&gt;"",IF($F20="Higher the better",IF(P21&lt;P20,P21,NA()),IF(P21&gt;P20,P21,NA())),NA())</f>
        <v>#N/A</v>
      </c>
      <c r="AF8" t="e">
        <f t="shared" ref="AF8" si="70">IF(IF($F20="Higher the better",IF(Q21&lt;Q20,Q21,NA()),IF(Q21&gt;Q20,Q21,NA()))&lt;&gt;"",IF($F20="Higher the better",IF(Q21&lt;Q20,Q21,NA()),IF(Q21&gt;Q20,Q21,NA())),NA())</f>
        <v>#N/A</v>
      </c>
      <c r="AG8" t="e">
        <f t="shared" ref="AG8" si="71">IF(IF($F20="Higher the better",IF(R21&lt;R20,R21,NA()),IF(R21&gt;R20,R21,NA()))&lt;&gt;"",IF($F20="Higher the better",IF(R21&lt;R20,R21,NA()),IF(R21&gt;R20,R21,NA())),NA())</f>
        <v>#N/A</v>
      </c>
      <c r="AH8" t="e">
        <f t="shared" ref="AH8" si="72">IF(IF($F20="Higher the better",IF(S21&lt;S20,S21,NA()),IF(S21&gt;S20,S21,NA()))&lt;&gt;"",IF($F20="Higher the better",IF(S21&lt;S20,S21,NA()),IF(S21&gt;S20,S21,NA())),NA())</f>
        <v>#N/A</v>
      </c>
      <c r="AI8" t="e">
        <f t="shared" ref="AI8" si="73">IF(IF($F20="Higher the better",IF(T21&lt;T20,T21,NA()),IF(T21&gt;T20,T21,NA()))&lt;&gt;"",IF($F20="Higher the better",IF(T21&lt;T20,T21,NA()),IF(T21&gt;T20,T21,NA())),NA())</f>
        <v>#N/A</v>
      </c>
    </row>
    <row r="9" spans="1:35">
      <c r="A9" s="349"/>
      <c r="B9" s="344"/>
      <c r="C9" s="329"/>
      <c r="D9" s="329"/>
      <c r="E9" s="329"/>
      <c r="F9" s="333"/>
      <c r="G9" s="329"/>
      <c r="H9" s="14" t="s">
        <v>30</v>
      </c>
      <c r="I9" s="45">
        <v>5.77</v>
      </c>
      <c r="J9" s="45">
        <v>11.29</v>
      </c>
      <c r="K9" s="45">
        <v>17.7</v>
      </c>
      <c r="L9" s="258">
        <v>23.77</v>
      </c>
      <c r="M9" s="45">
        <v>29.8</v>
      </c>
      <c r="N9" s="45">
        <v>36.26</v>
      </c>
      <c r="O9" s="45">
        <v>42.54</v>
      </c>
      <c r="P9" s="45"/>
      <c r="Q9" s="45"/>
      <c r="R9" s="45"/>
      <c r="S9" s="45"/>
      <c r="T9" s="45"/>
      <c r="W9" t="s">
        <v>90</v>
      </c>
      <c r="X9" t="e">
        <f t="shared" ref="X9" si="74">IF(IF($F22="Higher the better",IF(I23&gt;=I22,I23,NA()),IF(I23&lt;=I22,I23,NA()))&lt;&gt;"",IF($F22="Higher the better",IF(I23&gt;=I22,I23,NA()),IF(I23&lt;=I22,I23,NA())),NA())</f>
        <v>#N/A</v>
      </c>
      <c r="Y9" t="e">
        <f t="shared" ref="Y9" si="75">IF(IF($F22="Higher the better",IF(J23&gt;=J22,J23,NA()),IF(J23&lt;=J22,J23,NA()))&lt;&gt;"",IF($F22="Higher the better",IF(J23&gt;=J22,J23,NA()),IF(J23&lt;=J22,J23,NA())),NA())</f>
        <v>#N/A</v>
      </c>
      <c r="Z9" t="e">
        <f t="shared" ref="Z9" si="76">IF(IF($F22="Higher the better",IF(K23&gt;=K22,K23,NA()),IF(K23&lt;=K22,K23,NA()))&lt;&gt;"",IF($F22="Higher the better",IF(K23&gt;=K22,K23,NA()),IF(K23&lt;=K22,K23,NA())),NA())</f>
        <v>#N/A</v>
      </c>
      <c r="AA9" t="e">
        <f t="shared" ref="AA9" si="77">IF(IF($F22="Higher the better",IF(L23&gt;=L22,L23,NA()),IF(L23&lt;=L22,L23,NA()))&lt;&gt;"",IF($F22="Higher the better",IF(L23&gt;=L22,L23,NA()),IF(L23&lt;=L22,L23,NA())),NA())</f>
        <v>#N/A</v>
      </c>
      <c r="AB9">
        <f t="shared" ref="AB9" si="78">IF(IF($F22="Higher the better",IF(M23&gt;=M22,M23,NA()),IF(M23&lt;=M22,M23,NA()))&lt;&gt;"",IF($F22="Higher the better",IF(M23&gt;=M22,M23,NA()),IF(M23&lt;=M22,M23,NA())),NA())</f>
        <v>0.22700000000000001</v>
      </c>
      <c r="AC9" t="e">
        <f t="shared" ref="AC9" si="79">IF(IF($F22="Higher the better",IF(N23&gt;=N22,N23,NA()),IF(N23&lt;=N22,N23,NA()))&lt;&gt;"",IF($F22="Higher the better",IF(N23&gt;=N22,N23,NA()),IF(N23&lt;=N22,N23,NA())),NA())</f>
        <v>#N/A</v>
      </c>
      <c r="AD9">
        <f t="shared" ref="AD9" si="80">IF(IF($F22="Higher the better",IF(O23&gt;=O22,O23,NA()),IF(O23&lt;=O22,O23,NA()))&lt;&gt;"",IF($F22="Higher the better",IF(O23&gt;=O22,O23,NA()),IF(O23&lt;=O22,O23,NA())),NA())</f>
        <v>0.24</v>
      </c>
      <c r="AE9" t="e">
        <f t="shared" ref="AE9" si="81">IF(IF($F22="Higher the better",IF(P23&gt;=P22,P23,NA()),IF(P23&lt;=P22,P23,NA()))&lt;&gt;"",IF($F22="Higher the better",IF(P23&gt;=P22,P23,NA()),IF(P23&lt;=P22,P23,NA())),NA())</f>
        <v>#N/A</v>
      </c>
      <c r="AF9" t="e">
        <f t="shared" ref="AF9" si="82">IF(IF($F22="Higher the better",IF(Q23&gt;=Q22,Q23,NA()),IF(Q23&lt;=Q22,Q23,NA()))&lt;&gt;"",IF($F22="Higher the better",IF(Q23&gt;=Q22,Q23,NA()),IF(Q23&lt;=Q22,Q23,NA())),NA())</f>
        <v>#N/A</v>
      </c>
      <c r="AG9" t="e">
        <f t="shared" ref="AG9" si="83">IF(IF($F22="Higher the better",IF(R23&gt;=R22,R23,NA()),IF(R23&lt;=R22,R23,NA()))&lt;&gt;"",IF($F22="Higher the better",IF(R23&gt;=R22,R23,NA()),IF(R23&lt;=R22,R23,NA())),NA())</f>
        <v>#N/A</v>
      </c>
      <c r="AH9" t="e">
        <f t="shared" ref="AH9" si="84">IF(IF($F22="Higher the better",IF(S23&gt;=S22,S23,NA()),IF(S23&lt;=S22,S23,NA()))&lt;&gt;"",IF($F22="Higher the better",IF(S23&gt;=S22,S23,NA()),IF(S23&lt;=S22,S23,NA())),NA())</f>
        <v>#N/A</v>
      </c>
      <c r="AI9" t="e">
        <f t="shared" ref="AI9" si="85">IF(IF($F22="Higher the better",IF(T23&gt;=T22,T23,NA()),IF(T23&lt;=T22,T23,NA()))&lt;&gt;"",IF($F22="Higher the better",IF(T23&gt;=T22,T23,NA()),IF(T23&lt;=T22,T23,NA())),NA())</f>
        <v>#N/A</v>
      </c>
    </row>
    <row r="10" spans="1:35">
      <c r="A10" s="348" t="s">
        <v>596</v>
      </c>
      <c r="B10" s="348" t="s">
        <v>597</v>
      </c>
      <c r="C10" s="328" t="s">
        <v>97</v>
      </c>
      <c r="D10" s="353">
        <v>0.52700000000000002</v>
      </c>
      <c r="E10" s="328" t="s">
        <v>98</v>
      </c>
      <c r="F10" s="336" t="s">
        <v>99</v>
      </c>
      <c r="G10" s="328" t="s">
        <v>55</v>
      </c>
      <c r="H10" s="14" t="s">
        <v>29</v>
      </c>
      <c r="I10" s="51">
        <v>0.45300000000000001</v>
      </c>
      <c r="J10" s="51">
        <v>0.46400000000000002</v>
      </c>
      <c r="K10" s="51">
        <v>0.49299999999999999</v>
      </c>
      <c r="L10" s="216">
        <v>0.49099999999999999</v>
      </c>
      <c r="M10" s="51">
        <v>0.48799999999999999</v>
      </c>
      <c r="N10" s="51">
        <v>0.49199999999999999</v>
      </c>
      <c r="O10" s="51">
        <v>0.49199999999999999</v>
      </c>
      <c r="P10" s="51">
        <v>0.495</v>
      </c>
      <c r="Q10" s="51">
        <v>0.495</v>
      </c>
      <c r="R10" s="51">
        <v>0.498</v>
      </c>
      <c r="S10" s="51">
        <v>0.498</v>
      </c>
      <c r="T10" s="51">
        <v>0.50700000000000001</v>
      </c>
      <c r="W10" t="s">
        <v>91</v>
      </c>
      <c r="X10">
        <f t="shared" ref="X10" si="86">IF(IF($F22="Higher the better",IF(I23&lt;I22,I23,NA()),IF(I23&gt;I22,I23,NA()))&lt;&gt;"",IF($F22="Higher the better",IF(I23&lt;I22,I23,NA()),IF(I23&gt;I22,I23,NA())),NA())</f>
        <v>0.215</v>
      </c>
      <c r="Y10">
        <f t="shared" ref="Y10" si="87">IF(IF($F22="Higher the better",IF(J23&lt;J22,J23,NA()),IF(J23&gt;J22,J23,NA()))&lt;&gt;"",IF($F22="Higher the better",IF(J23&lt;J22,J23,NA()),IF(J23&gt;J22,J23,NA())),NA())</f>
        <v>0.21299999999999999</v>
      </c>
      <c r="Z10">
        <f t="shared" ref="Z10" si="88">IF(IF($F22="Higher the better",IF(K23&lt;K22,K23,NA()),IF(K23&gt;K22,K23,NA()))&lt;&gt;"",IF($F22="Higher the better",IF(K23&lt;K22,K23,NA()),IF(K23&gt;K22,K23,NA())),NA())</f>
        <v>0.21199999999999999</v>
      </c>
      <c r="AA10">
        <f t="shared" ref="AA10" si="89">IF(IF($F22="Higher the better",IF(L23&lt;L22,L23,NA()),IF(L23&gt;L22,L23,NA()))&lt;&gt;"",IF($F22="Higher the better",IF(L23&lt;L22,L23,NA()),IF(L23&gt;L22,L23,NA())),NA())</f>
        <v>0.221</v>
      </c>
      <c r="AB10" t="e">
        <f t="shared" ref="AB10" si="90">IF(IF($F22="Higher the better",IF(M23&lt;M22,M23,NA()),IF(M23&gt;M22,M23,NA()))&lt;&gt;"",IF($F22="Higher the better",IF(M23&lt;M22,M23,NA()),IF(M23&gt;M22,M23,NA())),NA())</f>
        <v>#N/A</v>
      </c>
      <c r="AC10">
        <f t="shared" ref="AC10" si="91">IF(IF($F22="Higher the better",IF(N23&lt;N22,N23,NA()),IF(N23&gt;N22,N23,NA()))&lt;&gt;"",IF($F22="Higher the better",IF(N23&lt;N22,N23,NA()),IF(N23&gt;N22,N23,NA())),NA())</f>
        <v>0.22040000000000001</v>
      </c>
      <c r="AD10" t="e">
        <f t="shared" ref="AD10" si="92">IF(IF($F22="Higher the better",IF(O23&lt;O22,O23,NA()),IF(O23&gt;O22,O23,NA()))&lt;&gt;"",IF($F22="Higher the better",IF(O23&lt;O22,O23,NA()),IF(O23&gt;O22,O23,NA())),NA())</f>
        <v>#N/A</v>
      </c>
      <c r="AE10" t="e">
        <f t="shared" ref="AE10" si="93">IF(IF($F22="Higher the better",IF(P23&lt;P22,P23,NA()),IF(P23&gt;P22,P23,NA()))&lt;&gt;"",IF($F22="Higher the better",IF(P23&lt;P22,P23,NA()),IF(P23&gt;P22,P23,NA())),NA())</f>
        <v>#N/A</v>
      </c>
      <c r="AF10" t="e">
        <f t="shared" ref="AF10" si="94">IF(IF($F22="Higher the better",IF(Q23&lt;Q22,Q23,NA()),IF(Q23&gt;Q22,Q23,NA()))&lt;&gt;"",IF($F22="Higher the better",IF(Q23&lt;Q22,Q23,NA()),IF(Q23&gt;Q22,Q23,NA())),NA())</f>
        <v>#N/A</v>
      </c>
      <c r="AG10" t="e">
        <f t="shared" ref="AG10" si="95">IF(IF($F22="Higher the better",IF(R23&lt;R22,R23,NA()),IF(R23&gt;R22,R23,NA()))&lt;&gt;"",IF($F22="Higher the better",IF(R23&lt;R22,R23,NA()),IF(R23&gt;R22,R23,NA())),NA())</f>
        <v>#N/A</v>
      </c>
      <c r="AH10" t="e">
        <f t="shared" ref="AH10" si="96">IF(IF($F22="Higher the better",IF(S23&lt;S22,S23,NA()),IF(S23&gt;S22,S23,NA()))&lt;&gt;"",IF($F22="Higher the better",IF(S23&lt;S22,S23,NA()),IF(S23&gt;S22,S23,NA())),NA())</f>
        <v>#N/A</v>
      </c>
      <c r="AI10" t="e">
        <f t="shared" ref="AI10" si="97">IF(IF($F22="Higher the better",IF(T23&lt;T22,T23,NA()),IF(T23&gt;T22,T23,NA()))&lt;&gt;"",IF($F22="Higher the better",IF(T23&lt;T22,T23,NA()),IF(T23&gt;T22,T23,NA())),NA())</f>
        <v>#N/A</v>
      </c>
    </row>
    <row r="11" spans="1:35">
      <c r="A11" s="349"/>
      <c r="B11" s="344"/>
      <c r="C11" s="329"/>
      <c r="D11" s="329"/>
      <c r="E11" s="329"/>
      <c r="F11" s="333"/>
      <c r="G11" s="329"/>
      <c r="H11" s="14" t="s">
        <v>30</v>
      </c>
      <c r="I11" s="67">
        <v>0.40300000000000002</v>
      </c>
      <c r="J11" s="67">
        <v>0.40200000000000002</v>
      </c>
      <c r="K11" s="67">
        <v>0.42399999999999999</v>
      </c>
      <c r="L11" s="125">
        <v>0.42799999999999999</v>
      </c>
      <c r="M11" s="5">
        <v>0.43</v>
      </c>
      <c r="N11" s="5">
        <v>0.45</v>
      </c>
      <c r="O11" s="67">
        <v>0.44700000000000001</v>
      </c>
      <c r="P11" s="45"/>
      <c r="Q11" s="45"/>
      <c r="R11" s="45"/>
      <c r="S11" s="45"/>
      <c r="T11" s="45"/>
      <c r="W11" t="s">
        <v>90</v>
      </c>
      <c r="X11">
        <f t="shared" ref="X11" si="98">IF(IF($F24="Higher the better",IF(I25&gt;=I24,I25,NA()),IF(I25&lt;=I24,I25,NA()))&lt;&gt;"",IF($F24="Higher the better",IF(I25&gt;=I24,I25,NA()),IF(I25&lt;=I24,I25,NA())),NA())</f>
        <v>0.81879999999999997</v>
      </c>
      <c r="Y11">
        <f t="shared" ref="Y11" si="99">IF(IF($F24="Higher the better",IF(J25&gt;=J24,J25,NA()),IF(J25&lt;=J24,J25,NA()))&lt;&gt;"",IF($F24="Higher the better",IF(J25&gt;=J24,J25,NA()),IF(J25&lt;=J24,J25,NA())),NA())</f>
        <v>0.81399999999999995</v>
      </c>
      <c r="Z11" t="e">
        <f t="shared" ref="Z11" si="100">IF(IF($F24="Higher the better",IF(K25&gt;=K24,K25,NA()),IF(K25&lt;=K24,K25,NA()))&lt;&gt;"",IF($F24="Higher the better",IF(K25&gt;=K24,K25,NA()),IF(K25&lt;=K24,K25,NA())),NA())</f>
        <v>#N/A</v>
      </c>
      <c r="AA11" t="e">
        <f t="shared" ref="AA11" si="101">IF(IF($F24="Higher the better",IF(L25&gt;=L24,L25,NA()),IF(L25&lt;=L24,L25,NA()))&lt;&gt;"",IF($F24="Higher the better",IF(L25&gt;=L24,L25,NA()),IF(L25&lt;=L24,L25,NA())),NA())</f>
        <v>#N/A</v>
      </c>
      <c r="AB11" t="e">
        <f>IF(IF($F24="Higher the better",IF(M25&gt;=M24,M25,NA()),IF(M25&lt;=M24,M25,NA()))&lt;&gt;"",IF($F24="Higher the better",IF(M25&gt;=M24,M25,NA()),IF(M25&lt;=M24,M25,NA())),NA())</f>
        <v>#N/A</v>
      </c>
      <c r="AC11" t="e">
        <f t="shared" ref="AC11" si="102">IF(IF($F24="Higher the better",IF(N25&gt;=N24,N25,NA()),IF(N25&lt;=N24,N25,NA()))&lt;&gt;"",IF($F24="Higher the better",IF(N25&gt;=N24,N25,NA()),IF(N25&lt;=N24,N25,NA())),NA())</f>
        <v>#N/A</v>
      </c>
      <c r="AD11">
        <f t="shared" ref="AD11" si="103">IF(IF($F24="Higher the better",IF(O25&gt;=O24,O25,NA()),IF(O25&lt;=O24,O25,NA()))&lt;&gt;"",IF($F24="Higher the better",IF(O25&gt;=O24,O25,NA()),IF(O25&lt;=O24,O25,NA())),NA())</f>
        <v>0.81</v>
      </c>
      <c r="AE11" t="e">
        <f t="shared" ref="AE11" si="104">IF(IF($F24="Higher the better",IF(P25&gt;=P24,P25,NA()),IF(P25&lt;=P24,P25,NA()))&lt;&gt;"",IF($F24="Higher the better",IF(P25&gt;=P24,P25,NA()),IF(P25&lt;=P24,P25,NA())),NA())</f>
        <v>#N/A</v>
      </c>
      <c r="AF11" t="e">
        <f t="shared" ref="AF11" si="105">IF(IF($F24="Higher the better",IF(Q25&gt;=Q24,Q25,NA()),IF(Q25&lt;=Q24,Q25,NA()))&lt;&gt;"",IF($F24="Higher the better",IF(Q25&gt;=Q24,Q25,NA()),IF(Q25&lt;=Q24,Q25,NA())),NA())</f>
        <v>#N/A</v>
      </c>
      <c r="AG11" t="e">
        <f t="shared" ref="AG11" si="106">IF(IF($F24="Higher the better",IF(R25&gt;=R24,R25,NA()),IF(R25&lt;=R24,R25,NA()))&lt;&gt;"",IF($F24="Higher the better",IF(R25&gt;=R24,R25,NA()),IF(R25&lt;=R24,R25,NA())),NA())</f>
        <v>#N/A</v>
      </c>
      <c r="AH11" t="e">
        <f t="shared" ref="AH11" si="107">IF(IF($F24="Higher the better",IF(S25&gt;=S24,S25,NA()),IF(S25&lt;=S24,S25,NA()))&lt;&gt;"",IF($F24="Higher the better",IF(S25&gt;=S24,S25,NA()),IF(S25&lt;=S24,S25,NA())),NA())</f>
        <v>#N/A</v>
      </c>
      <c r="AI11" t="e">
        <f t="shared" ref="AI11" si="108">IF(IF($F24="Higher the better",IF(T25&gt;=T24,T25,NA()),IF(T25&lt;=T24,T25,NA()))&lt;&gt;"",IF($F24="Higher the better",IF(T25&gt;=T24,T25,NA()),IF(T25&lt;=T24,T25,NA())),NA())</f>
        <v>#N/A</v>
      </c>
    </row>
    <row r="12" spans="1:35" ht="18.600000000000001">
      <c r="A12" s="31" t="s">
        <v>112</v>
      </c>
      <c r="G12" s="38"/>
      <c r="I12" s="43"/>
      <c r="J12" s="43"/>
      <c r="K12" s="43"/>
      <c r="L12" s="43"/>
      <c r="M12" s="43"/>
      <c r="N12" s="43"/>
      <c r="O12" s="43"/>
      <c r="P12" s="43"/>
      <c r="Q12" s="43"/>
      <c r="R12" s="43"/>
      <c r="S12" s="43"/>
      <c r="T12" s="43"/>
      <c r="W12" t="s">
        <v>91</v>
      </c>
      <c r="X12" t="e">
        <f t="shared" ref="X12" si="109">IF(IF($F24="Higher the better",IF(I25&lt;I24,I25,NA()),IF(I25&gt;I24,I25,NA()))&lt;&gt;"",IF($F24="Higher the better",IF(I25&lt;I24,I25,NA()),IF(I25&gt;I24,I25,NA())),NA())</f>
        <v>#N/A</v>
      </c>
      <c r="Y12" t="e">
        <f t="shared" ref="Y12" si="110">IF(IF($F24="Higher the better",IF(J25&lt;J24,J25,NA()),IF(J25&gt;J24,J25,NA()))&lt;&gt;"",IF($F24="Higher the better",IF(J25&lt;J24,J25,NA()),IF(J25&gt;J24,J25,NA())),NA())</f>
        <v>#N/A</v>
      </c>
      <c r="Z12">
        <f t="shared" ref="Z12" si="111">IF(IF($F24="Higher the better",IF(K25&lt;K24,K25,NA()),IF(K25&gt;K24,K25,NA()))&lt;&gt;"",IF($F24="Higher the better",IF(K25&lt;K24,K25,NA()),IF(K25&gt;K24,K25,NA())),NA())</f>
        <v>0.8</v>
      </c>
      <c r="AA12">
        <f t="shared" ref="AA12" si="112">IF(IF($F24="Higher the better",IF(L25&lt;L24,L25,NA()),IF(L25&gt;L24,L25,NA()))&lt;&gt;"",IF($F24="Higher the better",IF(L25&lt;L24,L25,NA()),IF(L25&gt;L24,L25,NA())),NA())</f>
        <v>0.80200000000000005</v>
      </c>
      <c r="AB12">
        <f>IF(IF($F24="Higher the better",IF(M25&lt;M24,M25,NA()),IF(M25&gt;M24,M25,NA()))&lt;&gt;"",IF($F24="Higher the better",IF(M25&lt;M24,M25,NA()),IF(M25&gt;M24,M25,NA())),NA())</f>
        <v>0.80400000000000005</v>
      </c>
      <c r="AC12">
        <f t="shared" ref="AC12" si="113">IF(IF($F24="Higher the better",IF(N25&lt;N24,N25,NA()),IF(N25&gt;N24,N25,NA()))&lt;&gt;"",IF($F24="Higher the better",IF(N25&lt;N24,N25,NA()),IF(N25&gt;N24,N25,NA())),NA())</f>
        <v>0.80559999999999998</v>
      </c>
      <c r="AD12" t="e">
        <f t="shared" ref="AD12" si="114">IF(IF($F24="Higher the better",IF(O25&lt;O24,O25,NA()),IF(O25&gt;O24,O25,NA()))&lt;&gt;"",IF($F24="Higher the better",IF(O25&lt;O24,O25,NA()),IF(O25&gt;O24,O25,NA())),NA())</f>
        <v>#N/A</v>
      </c>
      <c r="AE12" t="e">
        <f t="shared" ref="AE12" si="115">IF(IF($F24="Higher the better",IF(P25&lt;P24,P25,NA()),IF(P25&gt;P24,P25,NA()))&lt;&gt;"",IF($F24="Higher the better",IF(P25&lt;P24,P25,NA()),IF(P25&gt;P24,P25,NA())),NA())</f>
        <v>#N/A</v>
      </c>
      <c r="AF12" t="e">
        <f t="shared" ref="AF12" si="116">IF(IF($F24="Higher the better",IF(Q25&lt;Q24,Q25,NA()),IF(Q25&gt;Q24,Q25,NA()))&lt;&gt;"",IF($F24="Higher the better",IF(Q25&lt;Q24,Q25,NA()),IF(Q25&gt;Q24,Q25,NA())),NA())</f>
        <v>#N/A</v>
      </c>
      <c r="AG12" t="e">
        <f t="shared" ref="AG12" si="117">IF(IF($F24="Higher the better",IF(R25&lt;R24,R25,NA()),IF(R25&gt;R24,R25,NA()))&lt;&gt;"",IF($F24="Higher the better",IF(R25&lt;R24,R25,NA()),IF(R25&gt;R24,R25,NA())),NA())</f>
        <v>#N/A</v>
      </c>
      <c r="AH12" t="e">
        <f t="shared" ref="AH12" si="118">IF(IF($F24="Higher the better",IF(S25&lt;S24,S25,NA()),IF(S25&gt;S24,S25,NA()))&lt;&gt;"",IF($F24="Higher the better",IF(S25&lt;S24,S25,NA()),IF(S25&gt;S24,S25,NA())),NA())</f>
        <v>#N/A</v>
      </c>
      <c r="AI12" t="e">
        <f t="shared" ref="AI12" si="119">IF(IF($F24="Higher the better",IF(T25&lt;T24,T25,NA()),IF(T25&gt;T24,T25,NA()))&lt;&gt;"",IF($F24="Higher the better",IF(T25&lt;T24,T25,NA()),IF(T25&gt;T24,T25,NA())),NA())</f>
        <v>#N/A</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c r="W13" t="s">
        <v>90</v>
      </c>
      <c r="X13" t="e">
        <f>IF(IF($F26="Higher the better",IF(I27&gt;=I26,I27,NA()),IF(I27&lt;=I26,I27,NA()))&lt;&gt;"",IF($F26="Higher the better",IF(I27&gt;=I26,I27,NA()),IF(I27&lt;=I26,I27,NA())),NA())</f>
        <v>#N/A</v>
      </c>
      <c r="Y13" t="e">
        <f t="shared" ref="Y13" si="120">IF(IF($F26="Higher the better",IF(J27&gt;=J26,J27,NA()),IF(J27&lt;=J26,J27,NA()))&lt;&gt;"",IF($F26="Higher the better",IF(J27&gt;=J26,J27,NA()),IF(J27&lt;=J26,J27,NA())),NA())</f>
        <v>#N/A</v>
      </c>
      <c r="Z13" t="e">
        <f t="shared" ref="Z13" si="121">IF(IF($F26="Higher the better",IF(K27&gt;=K26,K27,NA()),IF(K27&lt;=K26,K27,NA()))&lt;&gt;"",IF($F26="Higher the better",IF(K27&gt;=K26,K27,NA()),IF(K27&lt;=K26,K27,NA())),NA())</f>
        <v>#N/A</v>
      </c>
      <c r="AA13" t="e">
        <f t="shared" ref="AA13" si="122">IF(IF($F26="Higher the better",IF(L27&gt;=L26,L27,NA()),IF(L27&lt;=L26,L27,NA()))&lt;&gt;"",IF($F26="Higher the better",IF(L27&gt;=L26,L27,NA()),IF(L27&lt;=L26,L27,NA())),NA())</f>
        <v>#N/A</v>
      </c>
      <c r="AB13">
        <f t="shared" ref="AB13" si="123">IF(IF($F26="Higher the better",IF(M27&gt;=M26,M27,NA()),IF(M27&lt;=M26,M27,NA()))&lt;&gt;"",IF($F26="Higher the better",IF(M27&gt;=M26,M27,NA()),IF(M27&lt;=M26,M27,NA())),NA())</f>
        <v>0.7</v>
      </c>
      <c r="AC13">
        <f t="shared" ref="AC13" si="124">IF(IF($F26="Higher the better",IF(N27&gt;=N26,N27,NA()),IF(N27&lt;=N26,N27,NA()))&lt;&gt;"",IF($F26="Higher the better",IF(N27&gt;=N26,N27,NA()),IF(N27&lt;=N26,N27,NA())),NA())</f>
        <v>0.7</v>
      </c>
      <c r="AD13" t="e">
        <f t="shared" ref="AD13" si="125">IF(IF($F26="Higher the better",IF(O27&gt;=O26,O27,NA()),IF(O27&lt;=O26,O27,NA()))&lt;&gt;"",IF($F26="Higher the better",IF(O27&gt;=O26,O27,NA()),IF(O27&lt;=O26,O27,NA())),NA())</f>
        <v>#N/A</v>
      </c>
      <c r="AE13" t="e">
        <f t="shared" ref="AE13" si="126">IF(IF($F26="Higher the better",IF(P27&gt;=P26,P27,NA()),IF(P27&lt;=P26,P27,NA()))&lt;&gt;"",IF($F26="Higher the better",IF(P27&gt;=P26,P27,NA()),IF(P27&lt;=P26,P27,NA())),NA())</f>
        <v>#N/A</v>
      </c>
      <c r="AF13" t="e">
        <f t="shared" ref="AF13" si="127">IF(IF($F26="Higher the better",IF(Q27&gt;=Q26,Q27,NA()),IF(Q27&lt;=Q26,Q27,NA()))&lt;&gt;"",IF($F26="Higher the better",IF(Q27&gt;=Q26,Q27,NA()),IF(Q27&lt;=Q26,Q27,NA())),NA())</f>
        <v>#N/A</v>
      </c>
      <c r="AG13" t="e">
        <f t="shared" ref="AG13" si="128">IF(IF($F26="Higher the better",IF(R27&gt;=R26,R27,NA()),IF(R27&lt;=R26,R27,NA()))&lt;&gt;"",IF($F26="Higher the better",IF(R27&gt;=R26,R27,NA()),IF(R27&lt;=R26,R27,NA())),NA())</f>
        <v>#N/A</v>
      </c>
      <c r="AH13" t="e">
        <f t="shared" ref="AH13" si="129">IF(IF($F26="Higher the better",IF(S27&gt;=S26,S27,NA()),IF(S27&lt;=S26,S27,NA()))&lt;&gt;"",IF($F26="Higher the better",IF(S27&gt;=S26,S27,NA()),IF(S27&lt;=S26,S27,NA())),NA())</f>
        <v>#N/A</v>
      </c>
      <c r="AI13" t="e">
        <f t="shared" ref="AI13" si="130">IF(IF($F26="Higher the better",IF(T27&gt;=T26,T27,NA()),IF(T27&lt;=T26,T27,NA()))&lt;&gt;"",IF($F26="Higher the better",IF(T27&gt;=T26,T27,NA()),IF(T27&lt;=T26,T27,NA())),NA())</f>
        <v>#N/A</v>
      </c>
    </row>
    <row r="14" spans="1:35" ht="13.5" customHeight="1">
      <c r="A14" s="341" t="s">
        <v>598</v>
      </c>
      <c r="B14" s="343" t="s">
        <v>599</v>
      </c>
      <c r="C14" s="328" t="s">
        <v>97</v>
      </c>
      <c r="D14" s="336">
        <v>54.9</v>
      </c>
      <c r="E14" s="328" t="s">
        <v>98</v>
      </c>
      <c r="F14" s="336" t="s">
        <v>99</v>
      </c>
      <c r="G14" s="328" t="s">
        <v>55</v>
      </c>
      <c r="H14" s="14" t="s">
        <v>29</v>
      </c>
      <c r="I14" s="51">
        <v>0.53600000000000003</v>
      </c>
      <c r="J14" s="51">
        <v>0.53900000000000003</v>
      </c>
      <c r="K14" s="51">
        <v>0.54100000000000004</v>
      </c>
      <c r="L14" s="51">
        <v>0.54100000000000004</v>
      </c>
      <c r="M14" s="51">
        <v>0.54300000000000004</v>
      </c>
      <c r="N14" s="51">
        <v>0.54400000000000004</v>
      </c>
      <c r="O14" s="51">
        <v>0.54400000000000004</v>
      </c>
      <c r="P14" s="51">
        <v>0.54500000000000004</v>
      </c>
      <c r="Q14" s="51">
        <v>0.54600000000000004</v>
      </c>
      <c r="R14" s="51">
        <v>0.54700000000000004</v>
      </c>
      <c r="S14" s="51">
        <v>0.54900000000000004</v>
      </c>
      <c r="T14" s="51">
        <v>0.54900000000000004</v>
      </c>
      <c r="W14" t="s">
        <v>91</v>
      </c>
      <c r="X14">
        <f>IF(IF($F26="Higher the better",IF(I27&lt;I26,I27,NA()),IF(I27&gt;I26,I27,NA()))&lt;&gt;"",IF($F26="Higher the better",IF(I27&lt;I26,I27,NA()),IF(I27&gt;I26,I27,NA())),NA())</f>
        <v>0.69499999999999995</v>
      </c>
      <c r="Y14">
        <f t="shared" ref="Y14" si="131">IF(IF($F26="Higher the better",IF(J27&lt;J26,J27,NA()),IF(J27&gt;J26,J27,NA()))&lt;&gt;"",IF($F26="Higher the better",IF(J27&lt;J26,J27,NA()),IF(J27&gt;J26,J27,NA())),NA())</f>
        <v>0.64800000000000002</v>
      </c>
      <c r="Z14">
        <f t="shared" ref="Z14" si="132">IF(IF($F26="Higher the better",IF(K27&lt;K26,K27,NA()),IF(K27&gt;K26,K27,NA()))&lt;&gt;"",IF($F26="Higher the better",IF(K27&lt;K26,K27,NA()),IF(K27&gt;K26,K27,NA())),NA())</f>
        <v>0.68100000000000005</v>
      </c>
      <c r="AA14">
        <f t="shared" ref="AA14" si="133">IF(IF($F26="Higher the better",IF(L27&lt;L26,L27,NA()),IF(L27&gt;L26,L27,NA()))&lt;&gt;"",IF($F26="Higher the better",IF(L27&lt;L26,L27,NA()),IF(L27&gt;L26,L27,NA())),NA())</f>
        <v>0.69499999999999995</v>
      </c>
      <c r="AB14" t="e">
        <f t="shared" ref="AB14" si="134">IF(IF($F26="Higher the better",IF(M27&lt;M26,M27,NA()),IF(M27&gt;M26,M27,NA()))&lt;&gt;"",IF($F26="Higher the better",IF(M27&lt;M26,M27,NA()),IF(M27&gt;M26,M27,NA())),NA())</f>
        <v>#N/A</v>
      </c>
      <c r="AC14" t="e">
        <f t="shared" ref="AC14" si="135">IF(IF($F26="Higher the better",IF(N27&lt;N26,N27,NA()),IF(N27&gt;N26,N27,NA()))&lt;&gt;"",IF($F26="Higher the better",IF(N27&lt;N26,N27,NA()),IF(N27&gt;N26,N27,NA())),NA())</f>
        <v>#N/A</v>
      </c>
      <c r="AD14">
        <f t="shared" ref="AD14" si="136">IF(IF($F26="Higher the better",IF(O27&lt;O26,O27,NA()),IF(O27&gt;O26,O27,NA()))&lt;&gt;"",IF($F26="Higher the better",IF(O27&lt;O26,O27,NA()),IF(O27&gt;O26,O27,NA())),NA())</f>
        <v>0.69699999999999995</v>
      </c>
      <c r="AE14" t="e">
        <f t="shared" ref="AE14" si="137">IF(IF($F26="Higher the better",IF(P27&lt;P26,P27,NA()),IF(P27&gt;P26,P27,NA()))&lt;&gt;"",IF($F26="Higher the better",IF(P27&lt;P26,P27,NA()),IF(P27&gt;P26,P27,NA())),NA())</f>
        <v>#N/A</v>
      </c>
      <c r="AF14" t="e">
        <f t="shared" ref="AF14" si="138">IF(IF($F26="Higher the better",IF(Q27&lt;Q26,Q27,NA()),IF(Q27&gt;Q26,Q27,NA()))&lt;&gt;"",IF($F26="Higher the better",IF(Q27&lt;Q26,Q27,NA()),IF(Q27&gt;Q26,Q27,NA())),NA())</f>
        <v>#N/A</v>
      </c>
      <c r="AG14" t="e">
        <f t="shared" ref="AG14" si="139">IF(IF($F26="Higher the better",IF(R27&lt;R26,R27,NA()),IF(R27&gt;R26,R27,NA()))&lt;&gt;"",IF($F26="Higher the better",IF(R27&lt;R26,R27,NA()),IF(R27&gt;R26,R27,NA())),NA())</f>
        <v>#N/A</v>
      </c>
      <c r="AH14" t="e">
        <f t="shared" ref="AH14" si="140">IF(IF($F26="Higher the better",IF(S27&lt;S26,S27,NA()),IF(S27&gt;S26,S27,NA()))&lt;&gt;"",IF($F26="Higher the better",IF(S27&lt;S26,S27,NA()),IF(S27&gt;S26,S27,NA())),NA())</f>
        <v>#N/A</v>
      </c>
      <c r="AI14" t="e">
        <f t="shared" ref="AI14" si="141">IF(IF($F26="Higher the better",IF(T27&lt;T26,T27,NA()),IF(T27&gt;T26,T27,NA()))&lt;&gt;"",IF($F26="Higher the better",IF(T27&lt;T26,T27,NA()),IF(T27&gt;T26,T27,NA())),NA())</f>
        <v>#N/A</v>
      </c>
    </row>
    <row r="15" spans="1:35" ht="14.85" customHeight="1">
      <c r="A15" s="342"/>
      <c r="B15" s="344"/>
      <c r="C15" s="329"/>
      <c r="D15" s="329"/>
      <c r="E15" s="329"/>
      <c r="F15" s="333"/>
      <c r="G15" s="329"/>
      <c r="H15" s="14" t="s">
        <v>30</v>
      </c>
      <c r="I15" s="67">
        <v>0.51900000000000002</v>
      </c>
      <c r="J15" s="67">
        <v>0.52100000000000002</v>
      </c>
      <c r="K15" s="67">
        <v>0.53100000000000003</v>
      </c>
      <c r="L15" s="125">
        <v>0.53500000000000003</v>
      </c>
      <c r="M15" s="67">
        <v>0.53600000000000003</v>
      </c>
      <c r="N15" s="67">
        <v>0.53700000000000003</v>
      </c>
      <c r="O15" s="67">
        <v>0.53600000000000003</v>
      </c>
      <c r="P15" s="45"/>
      <c r="Q15" s="45"/>
      <c r="R15" s="45"/>
      <c r="S15" s="45"/>
      <c r="T15" s="45"/>
    </row>
    <row r="16" spans="1:35">
      <c r="A16" s="348" t="s">
        <v>600</v>
      </c>
      <c r="B16" s="354" t="s">
        <v>601</v>
      </c>
      <c r="C16" s="328" t="s">
        <v>97</v>
      </c>
      <c r="D16" s="336">
        <v>40</v>
      </c>
      <c r="E16" s="328" t="s">
        <v>98</v>
      </c>
      <c r="F16" s="336" t="s">
        <v>99</v>
      </c>
      <c r="G16" s="328" t="s">
        <v>55</v>
      </c>
      <c r="H16" s="14" t="s">
        <v>29</v>
      </c>
      <c r="I16" s="4">
        <v>0.4</v>
      </c>
      <c r="J16" s="4">
        <v>0.4</v>
      </c>
      <c r="K16" s="4">
        <v>0.4</v>
      </c>
      <c r="L16" s="4">
        <v>0.4</v>
      </c>
      <c r="M16" s="4">
        <v>0.4</v>
      </c>
      <c r="N16" s="4">
        <v>0.4</v>
      </c>
      <c r="O16" s="4">
        <v>0.4</v>
      </c>
      <c r="P16" s="4">
        <v>0.4</v>
      </c>
      <c r="Q16" s="4">
        <v>0.4</v>
      </c>
      <c r="R16" s="4">
        <v>0.4</v>
      </c>
      <c r="S16" s="4">
        <v>0.4</v>
      </c>
      <c r="T16" s="4">
        <v>0.4</v>
      </c>
    </row>
    <row r="17" spans="1:20">
      <c r="A17" s="344"/>
      <c r="B17" s="344"/>
      <c r="C17" s="329"/>
      <c r="D17" s="329"/>
      <c r="E17" s="329"/>
      <c r="F17" s="333"/>
      <c r="G17" s="329"/>
      <c r="H17" s="14" t="s">
        <v>30</v>
      </c>
      <c r="I17" s="67">
        <v>0.217</v>
      </c>
      <c r="J17" s="67">
        <v>0.28599999999999998</v>
      </c>
      <c r="K17" s="5">
        <v>0.31</v>
      </c>
      <c r="L17" s="5">
        <v>0.31</v>
      </c>
      <c r="M17" s="5">
        <v>0.32</v>
      </c>
      <c r="N17" s="5">
        <v>0.42</v>
      </c>
      <c r="O17" s="67">
        <v>0.41399999999999998</v>
      </c>
      <c r="P17" s="45"/>
      <c r="Q17" s="45"/>
      <c r="R17" s="45"/>
      <c r="S17" s="45"/>
      <c r="T17" s="45"/>
    </row>
    <row r="18" spans="1:20">
      <c r="A18" s="354" t="s">
        <v>602</v>
      </c>
      <c r="B18" s="354" t="s">
        <v>603</v>
      </c>
      <c r="C18" s="328" t="s">
        <v>97</v>
      </c>
      <c r="D18" s="336">
        <v>0.6</v>
      </c>
      <c r="E18" s="328" t="s">
        <v>247</v>
      </c>
      <c r="F18" s="336" t="s">
        <v>99</v>
      </c>
      <c r="G18" s="328" t="s">
        <v>55</v>
      </c>
      <c r="H18" s="14" t="s">
        <v>29</v>
      </c>
      <c r="I18" s="4">
        <v>0.02</v>
      </c>
      <c r="J18" s="4">
        <v>0.05</v>
      </c>
      <c r="K18" s="4">
        <v>0.08</v>
      </c>
      <c r="L18" s="4">
        <v>0.11</v>
      </c>
      <c r="M18" s="4">
        <v>0.16999999999999998</v>
      </c>
      <c r="N18" s="4">
        <v>0.22999999999999998</v>
      </c>
      <c r="O18" s="4">
        <v>0.28999999999999998</v>
      </c>
      <c r="P18" s="44">
        <v>0.37</v>
      </c>
      <c r="Q18" s="44">
        <v>0.45</v>
      </c>
      <c r="R18" s="44">
        <v>0.53</v>
      </c>
      <c r="S18" s="44">
        <v>0.61</v>
      </c>
      <c r="T18" s="44">
        <v>0.61</v>
      </c>
    </row>
    <row r="19" spans="1:20">
      <c r="A19" s="344"/>
      <c r="B19" s="344"/>
      <c r="C19" s="329"/>
      <c r="D19" s="329"/>
      <c r="E19" s="329"/>
      <c r="F19" s="333"/>
      <c r="G19" s="329"/>
      <c r="H19" s="14" t="s">
        <v>30</v>
      </c>
      <c r="I19" s="67">
        <v>7.0000000000000007E-2</v>
      </c>
      <c r="J19" s="67">
        <v>7.0000000000000007E-2</v>
      </c>
      <c r="K19" s="5">
        <v>0.24</v>
      </c>
      <c r="L19" s="5">
        <v>0.32</v>
      </c>
      <c r="M19" s="5">
        <v>0.4</v>
      </c>
      <c r="N19" s="5">
        <v>0.53</v>
      </c>
      <c r="O19" s="67">
        <v>0.53</v>
      </c>
      <c r="P19" s="45"/>
      <c r="Q19" s="45"/>
      <c r="R19" s="45"/>
      <c r="S19" s="45"/>
      <c r="T19" s="45"/>
    </row>
    <row r="20" spans="1:20">
      <c r="A20" s="354" t="s">
        <v>604</v>
      </c>
      <c r="B20" s="354" t="s">
        <v>605</v>
      </c>
      <c r="C20" s="328" t="s">
        <v>102</v>
      </c>
      <c r="D20" s="336">
        <v>1.3</v>
      </c>
      <c r="E20" s="328" t="s">
        <v>247</v>
      </c>
      <c r="F20" s="336" t="s">
        <v>99</v>
      </c>
      <c r="G20" s="328" t="s">
        <v>55</v>
      </c>
      <c r="H20" s="14" t="s">
        <v>29</v>
      </c>
      <c r="I20" s="4">
        <v>0</v>
      </c>
      <c r="J20" s="4">
        <v>0.03</v>
      </c>
      <c r="K20" s="4">
        <v>0.06</v>
      </c>
      <c r="L20" s="4">
        <v>0.13</v>
      </c>
      <c r="M20" s="4">
        <v>0.2</v>
      </c>
      <c r="N20" s="4">
        <v>0.27</v>
      </c>
      <c r="O20" s="4">
        <v>0.42000000000000004</v>
      </c>
      <c r="P20" s="44">
        <v>0.57000000000000006</v>
      </c>
      <c r="Q20" s="44">
        <v>0.73000000000000009</v>
      </c>
      <c r="R20" s="44">
        <v>0.89000000000000012</v>
      </c>
      <c r="S20" s="44">
        <v>1.0900000000000001</v>
      </c>
      <c r="T20" s="44">
        <v>1.3</v>
      </c>
    </row>
    <row r="21" spans="1:20">
      <c r="A21" s="344"/>
      <c r="B21" s="344"/>
      <c r="C21" s="329"/>
      <c r="D21" s="329"/>
      <c r="E21" s="329"/>
      <c r="F21" s="333"/>
      <c r="G21" s="329"/>
      <c r="H21" s="14" t="s">
        <v>30</v>
      </c>
      <c r="I21" s="67">
        <v>0.01</v>
      </c>
      <c r="J21" s="67">
        <v>0.03</v>
      </c>
      <c r="K21" s="5">
        <v>8.5000000000000006E-2</v>
      </c>
      <c r="L21" s="5">
        <v>0.16</v>
      </c>
      <c r="M21" s="5">
        <v>0.23</v>
      </c>
      <c r="N21" s="5">
        <v>0.3</v>
      </c>
      <c r="O21" s="67">
        <v>0.44</v>
      </c>
      <c r="P21" s="45"/>
      <c r="Q21" s="45"/>
      <c r="R21" s="45"/>
      <c r="S21" s="45"/>
      <c r="T21" s="45"/>
    </row>
    <row r="22" spans="1:20">
      <c r="A22" s="348" t="s">
        <v>606</v>
      </c>
      <c r="B22" s="354" t="s">
        <v>607</v>
      </c>
      <c r="C22" s="328" t="s">
        <v>97</v>
      </c>
      <c r="D22" s="355">
        <v>0.23599999999999999</v>
      </c>
      <c r="E22" s="328" t="s">
        <v>98</v>
      </c>
      <c r="F22" s="336" t="s">
        <v>99</v>
      </c>
      <c r="G22" s="328" t="s">
        <v>55</v>
      </c>
      <c r="H22" s="14" t="s">
        <v>29</v>
      </c>
      <c r="I22" s="4">
        <v>0.22053895497960274</v>
      </c>
      <c r="J22" s="4">
        <v>0.22198023304101416</v>
      </c>
      <c r="K22" s="4">
        <v>0.22342151110242559</v>
      </c>
      <c r="L22" s="4">
        <v>0.22486278916383703</v>
      </c>
      <c r="M22" s="4">
        <v>0.22630406722524848</v>
      </c>
      <c r="N22" s="4">
        <v>0.22774534528665999</v>
      </c>
      <c r="O22" s="4">
        <v>0.22918662334807141</v>
      </c>
      <c r="P22" s="51">
        <v>0.23062790140948286</v>
      </c>
      <c r="Q22" s="51">
        <v>0.23206917947089434</v>
      </c>
      <c r="R22" s="51">
        <v>0.23351045753230576</v>
      </c>
      <c r="S22" s="51">
        <v>0.23495173559371718</v>
      </c>
      <c r="T22" s="51">
        <v>0.23639301365512863</v>
      </c>
    </row>
    <row r="23" spans="1:20" ht="15.6" customHeight="1">
      <c r="A23" s="344"/>
      <c r="B23" s="344"/>
      <c r="C23" s="329"/>
      <c r="D23" s="329"/>
      <c r="E23" s="329"/>
      <c r="F23" s="333"/>
      <c r="G23" s="329"/>
      <c r="H23" s="14" t="s">
        <v>30</v>
      </c>
      <c r="I23" s="67">
        <v>0.215</v>
      </c>
      <c r="J23" s="67">
        <v>0.21299999999999999</v>
      </c>
      <c r="K23" s="5">
        <v>0.21199999999999999</v>
      </c>
      <c r="L23" s="5">
        <v>0.221</v>
      </c>
      <c r="M23" s="5">
        <v>0.22700000000000001</v>
      </c>
      <c r="N23" s="5">
        <v>0.22040000000000001</v>
      </c>
      <c r="O23" s="67">
        <v>0.24</v>
      </c>
      <c r="P23" s="45"/>
      <c r="Q23" s="45"/>
      <c r="R23" s="45"/>
      <c r="S23" s="45"/>
      <c r="T23" s="45"/>
    </row>
    <row r="24" spans="1:20">
      <c r="A24" s="348" t="s">
        <v>608</v>
      </c>
      <c r="B24" s="348" t="s">
        <v>609</v>
      </c>
      <c r="C24" s="328" t="s">
        <v>97</v>
      </c>
      <c r="D24" s="355">
        <v>0.81599999999999995</v>
      </c>
      <c r="E24" s="328" t="s">
        <v>98</v>
      </c>
      <c r="F24" s="336" t="s">
        <v>99</v>
      </c>
      <c r="G24" s="328" t="s">
        <v>55</v>
      </c>
      <c r="H24" s="14" t="s">
        <v>29</v>
      </c>
      <c r="I24" s="4">
        <v>0.80400000000000005</v>
      </c>
      <c r="J24" s="4">
        <v>0.80500000000000005</v>
      </c>
      <c r="K24" s="4">
        <v>0.80600000000000005</v>
      </c>
      <c r="L24" s="4">
        <v>0.80700000000000005</v>
      </c>
      <c r="M24" s="4">
        <v>0.80800000000000005</v>
      </c>
      <c r="N24" s="4">
        <v>0.80900000000000005</v>
      </c>
      <c r="O24" s="4">
        <v>0.81</v>
      </c>
      <c r="P24" s="51">
        <v>0.81100000000000005</v>
      </c>
      <c r="Q24" s="51">
        <v>0.81200000000000006</v>
      </c>
      <c r="R24" s="51">
        <v>0.81399999999999995</v>
      </c>
      <c r="S24" s="51">
        <v>0.81499999999999995</v>
      </c>
      <c r="T24" s="51">
        <v>0.81599999999999995</v>
      </c>
    </row>
    <row r="25" spans="1:20" ht="13.5" customHeight="1">
      <c r="A25" s="344"/>
      <c r="B25" s="344"/>
      <c r="C25" s="329"/>
      <c r="D25" s="329"/>
      <c r="E25" s="329"/>
      <c r="F25" s="333"/>
      <c r="G25" s="329"/>
      <c r="H25" s="14" t="s">
        <v>30</v>
      </c>
      <c r="I25" s="67">
        <v>0.81879999999999997</v>
      </c>
      <c r="J25" s="67">
        <v>0.81399999999999995</v>
      </c>
      <c r="K25" s="5">
        <v>0.8</v>
      </c>
      <c r="L25" s="5">
        <v>0.80200000000000005</v>
      </c>
      <c r="M25" s="5">
        <v>0.80400000000000005</v>
      </c>
      <c r="N25" s="5">
        <v>0.80559999999999998</v>
      </c>
      <c r="O25" s="67">
        <v>0.81</v>
      </c>
      <c r="P25" s="45"/>
      <c r="Q25" s="45"/>
      <c r="R25" s="45"/>
      <c r="S25" s="45"/>
      <c r="T25" s="45"/>
    </row>
    <row r="26" spans="1:20">
      <c r="A26" s="348" t="s">
        <v>610</v>
      </c>
      <c r="B26" s="348" t="s">
        <v>611</v>
      </c>
      <c r="C26" s="328" t="s">
        <v>102</v>
      </c>
      <c r="D26" s="363">
        <v>0.70899999999999996</v>
      </c>
      <c r="E26" s="328" t="s">
        <v>98</v>
      </c>
      <c r="F26" s="336" t="s">
        <v>99</v>
      </c>
      <c r="G26" s="328" t="s">
        <v>55</v>
      </c>
      <c r="H26" s="14" t="s">
        <v>29</v>
      </c>
      <c r="I26" s="4">
        <v>0.7</v>
      </c>
      <c r="J26" s="4">
        <v>0.7</v>
      </c>
      <c r="K26" s="4">
        <v>0.7</v>
      </c>
      <c r="L26" s="4">
        <v>0.7</v>
      </c>
      <c r="M26" s="4">
        <v>0.7</v>
      </c>
      <c r="N26" s="4">
        <v>0.7</v>
      </c>
      <c r="O26" s="4">
        <v>0.7</v>
      </c>
      <c r="P26" s="4">
        <v>0.7</v>
      </c>
      <c r="Q26" s="4">
        <v>0.7</v>
      </c>
      <c r="R26" s="4">
        <v>0.7</v>
      </c>
      <c r="S26" s="4">
        <v>0.7</v>
      </c>
      <c r="T26" s="4">
        <v>0.7</v>
      </c>
    </row>
    <row r="27" spans="1:20" ht="13.5" customHeight="1">
      <c r="A27" s="349"/>
      <c r="B27" s="344"/>
      <c r="C27" s="329"/>
      <c r="D27" s="329"/>
      <c r="E27" s="329"/>
      <c r="F27" s="333"/>
      <c r="G27" s="329"/>
      <c r="H27" s="14" t="s">
        <v>30</v>
      </c>
      <c r="I27" s="67">
        <v>0.69499999999999995</v>
      </c>
      <c r="J27" s="67">
        <v>0.64800000000000002</v>
      </c>
      <c r="K27" s="5">
        <v>0.68100000000000005</v>
      </c>
      <c r="L27" s="5">
        <v>0.69499999999999995</v>
      </c>
      <c r="M27" s="5">
        <v>0.7</v>
      </c>
      <c r="N27" s="5">
        <v>0.7</v>
      </c>
      <c r="O27" s="67">
        <v>0.69699999999999995</v>
      </c>
      <c r="P27" s="45"/>
      <c r="Q27" s="45"/>
      <c r="R27" s="45"/>
      <c r="S27" s="45"/>
      <c r="T27" s="45"/>
    </row>
    <row r="28" spans="1:20" ht="15" customHeight="1">
      <c r="E28" s="32" t="s">
        <v>86</v>
      </c>
      <c r="H28" s="33" t="str">
        <f>IF(OR($F15="Lower the better",$F15="Lower the Better"),
    IF(I15&gt;I14,$A14,""),
    IF(OR($F15="Higher the better",$F15="Higher the Better"),
       IF(I15&lt;I14,$A14,""),
       ""
    )
)</f>
        <v/>
      </c>
    </row>
    <row r="29" spans="1:20" ht="21">
      <c r="A29" s="10" t="s">
        <v>217</v>
      </c>
      <c r="B29"/>
    </row>
    <row r="30" spans="1:20">
      <c r="A30" s="28"/>
      <c r="B30"/>
    </row>
    <row r="31" spans="1:20">
      <c r="A31" s="28"/>
      <c r="B31"/>
    </row>
    <row r="32" spans="1:20">
      <c r="A32" s="28"/>
      <c r="B32"/>
    </row>
    <row r="33" spans="1:5">
      <c r="A33" s="28"/>
      <c r="B33"/>
    </row>
    <row r="34" spans="1:5">
      <c r="A34" s="28"/>
      <c r="B34"/>
    </row>
    <row r="35" spans="1:5">
      <c r="A35" s="28"/>
      <c r="B35"/>
    </row>
    <row r="36" spans="1:5">
      <c r="A36" s="28"/>
      <c r="B36"/>
    </row>
    <row r="37" spans="1:5">
      <c r="A37" s="28"/>
      <c r="B37"/>
    </row>
    <row r="38" spans="1:5">
      <c r="A38" s="28"/>
      <c r="B38"/>
    </row>
    <row r="39" spans="1:5">
      <c r="A39" s="28"/>
      <c r="B39"/>
    </row>
    <row r="40" spans="1:5">
      <c r="A40" s="28"/>
      <c r="B40"/>
    </row>
    <row r="41" spans="1:5">
      <c r="A41" s="28"/>
      <c r="B41"/>
    </row>
    <row r="42" spans="1:5">
      <c r="A42" s="28"/>
      <c r="B42"/>
    </row>
    <row r="43" spans="1:5">
      <c r="A43" s="28"/>
      <c r="B43"/>
    </row>
    <row r="44" spans="1:5">
      <c r="A44" s="28"/>
      <c r="B44"/>
    </row>
    <row r="45" spans="1:5">
      <c r="A45" s="28"/>
      <c r="B45"/>
    </row>
    <row r="46" spans="1:5" ht="21">
      <c r="A46" s="356" t="s">
        <v>123</v>
      </c>
      <c r="B46" s="356"/>
      <c r="C46" s="356"/>
      <c r="D46" s="356"/>
      <c r="E46" s="356"/>
    </row>
    <row r="47" spans="1:5">
      <c r="A47" s="28"/>
      <c r="B47"/>
    </row>
    <row r="48" spans="1:5" ht="21">
      <c r="A48" s="347" t="s">
        <v>124</v>
      </c>
      <c r="B48" s="347"/>
    </row>
    <row r="49" spans="1:9" ht="20.100000000000001" customHeight="1">
      <c r="A49" s="357" t="s">
        <v>125</v>
      </c>
      <c r="B49" s="359" t="s">
        <v>126</v>
      </c>
      <c r="C49" s="359"/>
      <c r="D49" s="359"/>
      <c r="E49" s="359"/>
      <c r="F49" s="359"/>
    </row>
    <row r="50" spans="1:9" ht="15" customHeight="1">
      <c r="A50" s="358"/>
      <c r="B50" s="25" t="s">
        <v>127</v>
      </c>
      <c r="C50" s="25" t="s">
        <v>128</v>
      </c>
      <c r="D50" s="25" t="s">
        <v>129</v>
      </c>
      <c r="E50" s="25" t="s">
        <v>130</v>
      </c>
      <c r="F50" s="25" t="s">
        <v>131</v>
      </c>
    </row>
    <row r="51" spans="1:9" ht="19.350000000000001" customHeight="1">
      <c r="A51" s="40" t="s">
        <v>594</v>
      </c>
      <c r="B51" s="210" t="s">
        <v>612</v>
      </c>
      <c r="C51" s="41" t="s">
        <v>613</v>
      </c>
      <c r="D51" s="41" t="s">
        <v>614</v>
      </c>
      <c r="E51" s="41"/>
      <c r="F51" s="41"/>
    </row>
    <row r="52" spans="1:9" ht="19.350000000000001" customHeight="1">
      <c r="A52" s="27" t="s">
        <v>135</v>
      </c>
      <c r="B52" s="42">
        <v>0.6</v>
      </c>
      <c r="C52" s="42">
        <v>0.3</v>
      </c>
      <c r="D52" s="42">
        <v>0.1</v>
      </c>
      <c r="E52" s="42"/>
      <c r="F52" s="42"/>
    </row>
    <row r="53" spans="1:9" ht="19.350000000000001" customHeight="1">
      <c r="A53" s="25" t="s">
        <v>136</v>
      </c>
      <c r="B53" s="25" t="s">
        <v>127</v>
      </c>
      <c r="C53" s="25" t="s">
        <v>128</v>
      </c>
      <c r="D53" s="25" t="s">
        <v>129</v>
      </c>
      <c r="E53" s="25" t="s">
        <v>130</v>
      </c>
      <c r="F53" s="25" t="s">
        <v>131</v>
      </c>
    </row>
    <row r="54" spans="1:9" ht="19.350000000000001" customHeight="1">
      <c r="A54" s="40" t="s">
        <v>615</v>
      </c>
      <c r="B54" s="210" t="s">
        <v>616</v>
      </c>
      <c r="C54" s="41" t="s">
        <v>617</v>
      </c>
      <c r="D54" s="41" t="s">
        <v>618</v>
      </c>
      <c r="E54" s="41" t="s">
        <v>619</v>
      </c>
      <c r="F54" s="41" t="s">
        <v>620</v>
      </c>
      <c r="I54" s="259"/>
    </row>
    <row r="55" spans="1:9" ht="19.350000000000001" customHeight="1">
      <c r="A55" s="27" t="s">
        <v>135</v>
      </c>
      <c r="B55" s="42">
        <v>0.45</v>
      </c>
      <c r="C55" s="42">
        <v>0.15</v>
      </c>
      <c r="D55" s="42">
        <v>0.2</v>
      </c>
      <c r="E55" s="42">
        <v>0.1</v>
      </c>
      <c r="F55" s="42">
        <v>0.1</v>
      </c>
      <c r="I55" s="259"/>
    </row>
    <row r="56" spans="1:9" ht="19.350000000000001" customHeight="1">
      <c r="A56" s="25" t="s">
        <v>136</v>
      </c>
      <c r="B56" s="25" t="s">
        <v>127</v>
      </c>
      <c r="C56" s="25" t="s">
        <v>128</v>
      </c>
      <c r="D56" s="25" t="s">
        <v>129</v>
      </c>
      <c r="E56" s="25" t="s">
        <v>130</v>
      </c>
      <c r="F56" s="25" t="s">
        <v>131</v>
      </c>
      <c r="I56" s="259"/>
    </row>
    <row r="57" spans="1:9" ht="19.350000000000001" customHeight="1">
      <c r="A57" s="27" t="s">
        <v>621</v>
      </c>
      <c r="B57" s="41" t="s">
        <v>622</v>
      </c>
      <c r="C57" s="41" t="s">
        <v>623</v>
      </c>
      <c r="D57" s="41" t="s">
        <v>624</v>
      </c>
      <c r="E57" s="41" t="s">
        <v>625</v>
      </c>
      <c r="F57" s="41"/>
      <c r="I57" s="259"/>
    </row>
    <row r="58" spans="1:9" ht="19.350000000000001" customHeight="1">
      <c r="A58" s="27" t="s">
        <v>135</v>
      </c>
      <c r="B58" s="42">
        <v>0.37</v>
      </c>
      <c r="C58" s="42">
        <v>0.32</v>
      </c>
      <c r="D58" s="42">
        <v>0.2</v>
      </c>
      <c r="E58" s="42">
        <v>0.11</v>
      </c>
      <c r="F58" s="42"/>
      <c r="I58" s="259"/>
    </row>
    <row r="59" spans="1:9" ht="19.350000000000001" customHeight="1">
      <c r="A59" s="25" t="s">
        <v>136</v>
      </c>
      <c r="B59" s="25" t="s">
        <v>127</v>
      </c>
      <c r="C59" s="25" t="s">
        <v>128</v>
      </c>
      <c r="D59" s="25" t="s">
        <v>129</v>
      </c>
      <c r="E59" s="25" t="s">
        <v>130</v>
      </c>
      <c r="F59" s="25" t="s">
        <v>131</v>
      </c>
      <c r="I59" s="259"/>
    </row>
    <row r="60" spans="1:9" ht="19.350000000000001" customHeight="1">
      <c r="A60" s="27" t="s">
        <v>626</v>
      </c>
      <c r="B60" s="41" t="s">
        <v>627</v>
      </c>
      <c r="C60" s="41" t="s">
        <v>628</v>
      </c>
      <c r="D60" s="41" t="s">
        <v>629</v>
      </c>
      <c r="E60" s="41" t="s">
        <v>630</v>
      </c>
      <c r="F60" s="41"/>
      <c r="G60" s="321" t="s">
        <v>631</v>
      </c>
      <c r="I60" s="259"/>
    </row>
    <row r="61" spans="1:9" ht="19.350000000000001" customHeight="1">
      <c r="A61" s="27" t="s">
        <v>135</v>
      </c>
      <c r="B61" s="42">
        <v>0.4</v>
      </c>
      <c r="C61" s="42">
        <v>0.3</v>
      </c>
      <c r="D61" s="42">
        <v>0.2</v>
      </c>
      <c r="E61" s="42">
        <v>0.1</v>
      </c>
      <c r="F61" s="42"/>
      <c r="H61" t="s">
        <v>632</v>
      </c>
      <c r="I61" s="259"/>
    </row>
    <row r="62" spans="1:9" ht="19.350000000000001" customHeight="1">
      <c r="A62" s="25" t="s">
        <v>136</v>
      </c>
      <c r="B62" s="25" t="s">
        <v>127</v>
      </c>
      <c r="C62" s="25" t="s">
        <v>128</v>
      </c>
      <c r="D62" s="25" t="s">
        <v>129</v>
      </c>
      <c r="E62" s="25" t="s">
        <v>130</v>
      </c>
      <c r="F62" s="25" t="s">
        <v>131</v>
      </c>
      <c r="I62" s="259"/>
    </row>
    <row r="63" spans="1:9" ht="19.350000000000001" customHeight="1">
      <c r="A63" s="27"/>
      <c r="B63" s="41"/>
      <c r="C63" s="41"/>
      <c r="D63" s="41"/>
      <c r="E63" s="41"/>
      <c r="F63" s="41"/>
      <c r="I63" s="259"/>
    </row>
    <row r="64" spans="1:9" ht="19.350000000000001" customHeight="1">
      <c r="A64" s="27" t="s">
        <v>135</v>
      </c>
      <c r="B64" s="42"/>
      <c r="C64" s="42"/>
      <c r="D64" s="42"/>
      <c r="E64" s="42"/>
      <c r="F64" s="42"/>
      <c r="I64" s="259"/>
    </row>
    <row r="65" spans="1:9" ht="19.350000000000001" customHeight="1">
      <c r="A65" s="25" t="s">
        <v>136</v>
      </c>
      <c r="B65" s="25" t="s">
        <v>127</v>
      </c>
      <c r="C65" s="25" t="s">
        <v>128</v>
      </c>
      <c r="D65" s="25" t="s">
        <v>129</v>
      </c>
      <c r="E65" s="25" t="s">
        <v>130</v>
      </c>
      <c r="F65" s="25" t="s">
        <v>131</v>
      </c>
      <c r="I65" s="260"/>
    </row>
    <row r="66" spans="1:9" ht="19.350000000000001" customHeight="1">
      <c r="A66" s="27"/>
      <c r="B66" s="41"/>
      <c r="C66" s="41"/>
      <c r="D66" s="274"/>
      <c r="E66" s="41"/>
      <c r="F66" s="41"/>
    </row>
    <row r="67" spans="1:9" ht="19.350000000000001" customHeight="1">
      <c r="A67" s="27" t="s">
        <v>135</v>
      </c>
      <c r="B67" s="42"/>
      <c r="C67" s="42"/>
      <c r="D67" s="42"/>
      <c r="E67" s="42"/>
      <c r="F67" s="42"/>
    </row>
    <row r="68" spans="1:9" ht="19.350000000000001" customHeight="1">
      <c r="A68" s="25" t="s">
        <v>136</v>
      </c>
      <c r="B68" s="25" t="s">
        <v>127</v>
      </c>
      <c r="C68" s="25" t="s">
        <v>128</v>
      </c>
      <c r="D68" s="25" t="s">
        <v>129</v>
      </c>
      <c r="E68" s="25" t="s">
        <v>130</v>
      </c>
      <c r="F68" s="25" t="s">
        <v>131</v>
      </c>
    </row>
    <row r="69" spans="1:9" ht="19.350000000000001" customHeight="1">
      <c r="A69" s="27"/>
      <c r="B69" s="41"/>
      <c r="C69" s="41"/>
      <c r="D69" s="41"/>
      <c r="E69" s="41"/>
      <c r="F69" s="41"/>
    </row>
    <row r="70" spans="1:9" ht="19.350000000000001" customHeight="1">
      <c r="A70" s="27" t="s">
        <v>135</v>
      </c>
      <c r="B70" s="42"/>
      <c r="C70" s="42"/>
      <c r="D70" s="42"/>
      <c r="E70" s="42"/>
      <c r="F70" s="42"/>
    </row>
    <row r="71" spans="1:9" ht="21">
      <c r="A71" s="10" t="s">
        <v>144</v>
      </c>
      <c r="B71"/>
    </row>
    <row r="72" spans="1:9">
      <c r="A72" s="28"/>
      <c r="B72"/>
    </row>
    <row r="73" spans="1:9">
      <c r="A73" s="28"/>
      <c r="B73"/>
    </row>
    <row r="74" spans="1:9">
      <c r="A74" s="28"/>
      <c r="B74"/>
    </row>
    <row r="75" spans="1:9">
      <c r="A75" s="28"/>
      <c r="B75"/>
    </row>
    <row r="76" spans="1:9">
      <c r="A76" s="28"/>
      <c r="B76"/>
    </row>
    <row r="77" spans="1:9">
      <c r="A77" s="28"/>
      <c r="B77"/>
    </row>
    <row r="78" spans="1:9">
      <c r="A78" s="28"/>
      <c r="B78"/>
    </row>
    <row r="79" spans="1:9">
      <c r="A79" s="28"/>
      <c r="B79"/>
    </row>
    <row r="80" spans="1:9">
      <c r="A80" s="28"/>
      <c r="B80"/>
    </row>
    <row r="81" spans="1:15">
      <c r="A81" s="28"/>
      <c r="B81"/>
    </row>
    <row r="82" spans="1:15">
      <c r="A82" s="28"/>
      <c r="B82"/>
    </row>
    <row r="83" spans="1:15">
      <c r="A83" s="28"/>
      <c r="B83"/>
    </row>
    <row r="84" spans="1:15">
      <c r="A84" s="28"/>
      <c r="B84"/>
    </row>
    <row r="85" spans="1:15">
      <c r="A85" s="28"/>
      <c r="B85"/>
    </row>
    <row r="86" spans="1:15" ht="15" thickBot="1">
      <c r="A86" s="28"/>
      <c r="B86"/>
    </row>
    <row r="87" spans="1:15" ht="18.95" thickBot="1">
      <c r="A87" s="360" t="s">
        <v>145</v>
      </c>
      <c r="B87" s="361"/>
      <c r="C87" s="361"/>
      <c r="D87" s="361"/>
      <c r="E87" s="361"/>
      <c r="F87" s="362"/>
      <c r="H87" s="364" t="s">
        <v>146</v>
      </c>
      <c r="I87" s="365"/>
      <c r="J87" s="365"/>
      <c r="K87" s="365"/>
      <c r="L87" s="365"/>
      <c r="M87" s="365"/>
      <c r="N87" s="365"/>
      <c r="O87" s="366"/>
    </row>
    <row r="88" spans="1:15" s="15" customFormat="1" ht="41.85" customHeight="1">
      <c r="A88" s="16" t="s">
        <v>136</v>
      </c>
      <c r="B88" s="17" t="s">
        <v>147</v>
      </c>
      <c r="C88" s="18" t="s">
        <v>148</v>
      </c>
      <c r="D88" s="19" t="s">
        <v>149</v>
      </c>
      <c r="E88" s="17" t="s">
        <v>150</v>
      </c>
      <c r="F88" s="20" t="s">
        <v>151</v>
      </c>
      <c r="G88"/>
      <c r="H88" s="21" t="s">
        <v>58</v>
      </c>
      <c r="I88" s="22" t="s">
        <v>152</v>
      </c>
      <c r="J88" s="22" t="s">
        <v>153</v>
      </c>
      <c r="K88" s="23" t="s">
        <v>154</v>
      </c>
      <c r="L88" s="23" t="s">
        <v>155</v>
      </c>
      <c r="M88" s="24" t="s">
        <v>156</v>
      </c>
      <c r="N88" s="23" t="s">
        <v>157</v>
      </c>
      <c r="O88" s="36" t="s">
        <v>158</v>
      </c>
    </row>
    <row r="89" spans="1:15" ht="16.5" customHeight="1">
      <c r="A89" s="330" t="s">
        <v>633</v>
      </c>
      <c r="B89" s="332" t="s">
        <v>634</v>
      </c>
      <c r="C89" s="332" t="s">
        <v>635</v>
      </c>
      <c r="D89" s="332" t="s">
        <v>636</v>
      </c>
      <c r="E89" s="337">
        <v>46112</v>
      </c>
      <c r="F89" s="339">
        <v>5</v>
      </c>
      <c r="H89" s="330" t="s">
        <v>637</v>
      </c>
      <c r="I89" s="367" t="s">
        <v>638</v>
      </c>
      <c r="J89" s="367" t="s">
        <v>639</v>
      </c>
      <c r="K89" s="369" t="s">
        <v>640</v>
      </c>
      <c r="L89" s="367" t="s">
        <v>641</v>
      </c>
      <c r="M89" s="370" t="s">
        <v>338</v>
      </c>
      <c r="N89" s="372" t="s">
        <v>642</v>
      </c>
      <c r="O89" s="374" t="s">
        <v>643</v>
      </c>
    </row>
    <row r="90" spans="1:15" ht="18" customHeight="1">
      <c r="A90" s="331"/>
      <c r="B90" s="333"/>
      <c r="C90" s="333"/>
      <c r="D90" s="333"/>
      <c r="E90" s="338"/>
      <c r="F90" s="340"/>
      <c r="H90" s="331"/>
      <c r="I90" s="368"/>
      <c r="J90" s="368"/>
      <c r="K90" s="368"/>
      <c r="L90" s="368"/>
      <c r="M90" s="371"/>
      <c r="N90" s="373"/>
      <c r="O90" s="375"/>
    </row>
    <row r="91" spans="1:15" ht="17.100000000000001" customHeight="1">
      <c r="A91" s="330" t="s">
        <v>633</v>
      </c>
      <c r="B91" s="336" t="s">
        <v>644</v>
      </c>
      <c r="C91" s="336" t="s">
        <v>645</v>
      </c>
      <c r="D91" s="336" t="s">
        <v>636</v>
      </c>
      <c r="E91" s="337">
        <v>46112</v>
      </c>
      <c r="F91" s="339">
        <v>5</v>
      </c>
      <c r="H91" s="330" t="s">
        <v>637</v>
      </c>
      <c r="I91" s="367" t="s">
        <v>646</v>
      </c>
      <c r="J91" s="367" t="s">
        <v>647</v>
      </c>
      <c r="K91" s="367" t="s">
        <v>648</v>
      </c>
      <c r="L91" s="367" t="s">
        <v>649</v>
      </c>
      <c r="M91" s="370" t="s">
        <v>338</v>
      </c>
      <c r="N91" s="367"/>
      <c r="O91" s="345"/>
    </row>
    <row r="92" spans="1:15" ht="17.100000000000001" customHeight="1">
      <c r="A92" s="331"/>
      <c r="B92" s="333"/>
      <c r="C92" s="333"/>
      <c r="D92" s="333"/>
      <c r="E92" s="338"/>
      <c r="F92" s="340"/>
      <c r="H92" s="331"/>
      <c r="I92" s="368"/>
      <c r="J92" s="368"/>
      <c r="K92" s="368"/>
      <c r="L92" s="368"/>
      <c r="M92" s="371"/>
      <c r="N92" s="368"/>
      <c r="O92" s="346"/>
    </row>
    <row r="93" spans="1:15" ht="17.100000000000001" customHeight="1">
      <c r="A93" s="330" t="s">
        <v>637</v>
      </c>
      <c r="B93" s="336" t="s">
        <v>650</v>
      </c>
      <c r="C93" s="336" t="s">
        <v>651</v>
      </c>
      <c r="D93" s="336" t="s">
        <v>652</v>
      </c>
      <c r="E93" s="337">
        <v>46081</v>
      </c>
      <c r="F93" s="339">
        <v>5</v>
      </c>
      <c r="H93" s="330" t="s">
        <v>633</v>
      </c>
      <c r="I93" s="372" t="s">
        <v>653</v>
      </c>
      <c r="J93" s="367" t="s">
        <v>78</v>
      </c>
      <c r="K93" s="372" t="s">
        <v>654</v>
      </c>
      <c r="L93" s="367" t="s">
        <v>655</v>
      </c>
      <c r="M93" s="370" t="s">
        <v>338</v>
      </c>
      <c r="N93" s="372" t="s">
        <v>656</v>
      </c>
      <c r="O93" s="374" t="s">
        <v>657</v>
      </c>
    </row>
    <row r="94" spans="1:15" ht="16.5" customHeight="1">
      <c r="A94" s="331"/>
      <c r="B94" s="333"/>
      <c r="C94" s="333"/>
      <c r="D94" s="333"/>
      <c r="E94" s="338"/>
      <c r="F94" s="340"/>
      <c r="H94" s="331"/>
      <c r="I94" s="373"/>
      <c r="J94" s="368"/>
      <c r="K94" s="373"/>
      <c r="L94" s="368"/>
      <c r="M94" s="371"/>
      <c r="N94" s="373"/>
      <c r="O94" s="375"/>
    </row>
    <row r="95" spans="1:15" ht="16.5" customHeight="1">
      <c r="A95" s="330" t="s">
        <v>658</v>
      </c>
      <c r="B95" s="336" t="s">
        <v>659</v>
      </c>
      <c r="C95" s="336" t="s">
        <v>660</v>
      </c>
      <c r="D95" s="336" t="s">
        <v>652</v>
      </c>
      <c r="E95" s="337" t="s">
        <v>661</v>
      </c>
      <c r="F95" s="339">
        <v>3</v>
      </c>
      <c r="H95" s="330"/>
      <c r="I95" s="367"/>
      <c r="J95" s="367"/>
      <c r="K95" s="367"/>
      <c r="L95" s="367"/>
      <c r="M95" s="370"/>
      <c r="N95" s="367"/>
      <c r="O95" s="345"/>
    </row>
    <row r="96" spans="1:15" ht="16.5" customHeight="1">
      <c r="A96" s="331"/>
      <c r="B96" s="333"/>
      <c r="C96" s="333"/>
      <c r="D96" s="333"/>
      <c r="E96" s="338"/>
      <c r="F96" s="340"/>
      <c r="H96" s="331"/>
      <c r="I96" s="368"/>
      <c r="J96" s="368"/>
      <c r="K96" s="368"/>
      <c r="L96" s="368"/>
      <c r="M96" s="371"/>
      <c r="N96" s="368"/>
      <c r="O96" s="346"/>
    </row>
    <row r="97" spans="1:15" ht="16.5" customHeight="1">
      <c r="A97" s="330" t="s">
        <v>662</v>
      </c>
      <c r="B97" s="336" t="s">
        <v>663</v>
      </c>
      <c r="C97" s="336" t="s">
        <v>664</v>
      </c>
      <c r="D97" s="336" t="s">
        <v>665</v>
      </c>
      <c r="E97" s="337">
        <v>46233</v>
      </c>
      <c r="F97" s="339">
        <v>3</v>
      </c>
      <c r="H97" s="330"/>
      <c r="I97" s="367"/>
      <c r="J97" s="367"/>
      <c r="K97" s="367"/>
      <c r="L97" s="367"/>
      <c r="M97" s="370"/>
      <c r="N97" s="367"/>
      <c r="O97" s="345"/>
    </row>
    <row r="98" spans="1:15" ht="16.5" customHeight="1">
      <c r="A98" s="331"/>
      <c r="B98" s="333"/>
      <c r="C98" s="333"/>
      <c r="D98" s="333"/>
      <c r="E98" s="338"/>
      <c r="F98" s="340"/>
      <c r="H98" s="331"/>
      <c r="I98" s="368"/>
      <c r="J98" s="368"/>
      <c r="K98" s="368"/>
      <c r="L98" s="368"/>
      <c r="M98" s="371"/>
      <c r="N98" s="368"/>
      <c r="O98" s="346"/>
    </row>
    <row r="99" spans="1:15" ht="16.5" customHeight="1">
      <c r="A99" s="330" t="s">
        <v>637</v>
      </c>
      <c r="B99" s="336" t="s">
        <v>666</v>
      </c>
      <c r="C99" s="332" t="s">
        <v>667</v>
      </c>
      <c r="D99" s="336" t="s">
        <v>668</v>
      </c>
      <c r="E99" s="337">
        <v>46203</v>
      </c>
      <c r="F99" s="339">
        <v>5</v>
      </c>
      <c r="H99" s="171"/>
      <c r="I99" s="367"/>
      <c r="J99" s="367"/>
      <c r="K99" s="367"/>
      <c r="L99" s="367"/>
      <c r="M99" s="370"/>
      <c r="N99" s="367"/>
      <c r="O99" s="345"/>
    </row>
    <row r="100" spans="1:15" ht="16.5" customHeight="1">
      <c r="A100" s="331"/>
      <c r="B100" s="333"/>
      <c r="C100" s="333"/>
      <c r="D100" s="333"/>
      <c r="E100" s="338"/>
      <c r="F100" s="340"/>
      <c r="H100" s="171"/>
      <c r="I100" s="368"/>
      <c r="J100" s="368"/>
      <c r="K100" s="368"/>
      <c r="L100" s="368"/>
      <c r="M100" s="371"/>
      <c r="N100" s="368"/>
      <c r="O100" s="346"/>
    </row>
    <row r="101" spans="1:15" ht="16.5" customHeight="1">
      <c r="A101" s="330" t="s">
        <v>633</v>
      </c>
      <c r="B101" s="336" t="s">
        <v>669</v>
      </c>
      <c r="C101" s="336" t="s">
        <v>670</v>
      </c>
      <c r="D101" s="336" t="s">
        <v>636</v>
      </c>
      <c r="E101" s="337">
        <v>46203</v>
      </c>
      <c r="F101" s="339">
        <v>5</v>
      </c>
      <c r="H101" s="330"/>
      <c r="I101" s="367"/>
      <c r="J101" s="367"/>
      <c r="K101" s="367"/>
      <c r="L101" s="367"/>
      <c r="M101" s="370"/>
      <c r="N101" s="367"/>
      <c r="O101" s="345"/>
    </row>
    <row r="102" spans="1:15" ht="17.100000000000001" customHeight="1" thickBot="1">
      <c r="A102" s="331"/>
      <c r="B102" s="333"/>
      <c r="C102" s="333"/>
      <c r="D102" s="333"/>
      <c r="E102" s="338"/>
      <c r="F102" s="340"/>
      <c r="H102" s="376"/>
      <c r="I102" s="379"/>
      <c r="J102" s="379"/>
      <c r="K102" s="379"/>
      <c r="L102" s="379"/>
      <c r="M102" s="380"/>
      <c r="N102" s="379"/>
      <c r="O102" s="381"/>
    </row>
    <row r="103" spans="1:15" ht="17.100000000000001" customHeight="1">
      <c r="A103" s="330" t="s">
        <v>633</v>
      </c>
      <c r="B103" s="336" t="s">
        <v>671</v>
      </c>
      <c r="C103" s="336" t="s">
        <v>672</v>
      </c>
      <c r="D103" s="336" t="s">
        <v>636</v>
      </c>
      <c r="E103" s="337" t="s">
        <v>661</v>
      </c>
      <c r="F103" s="339">
        <v>3</v>
      </c>
      <c r="J103" s="177"/>
      <c r="K103" s="177"/>
      <c r="L103" s="177"/>
      <c r="M103" s="15"/>
      <c r="N103" s="177"/>
      <c r="O103" s="177"/>
    </row>
    <row r="104" spans="1:15" ht="17.100000000000001" customHeight="1">
      <c r="A104" s="331"/>
      <c r="B104" s="333"/>
      <c r="C104" s="333"/>
      <c r="D104" s="333"/>
      <c r="E104" s="338"/>
      <c r="F104" s="340"/>
      <c r="J104" s="177"/>
      <c r="K104" s="177"/>
      <c r="L104" s="177"/>
      <c r="M104" s="15"/>
      <c r="N104" s="177"/>
      <c r="O104" s="177"/>
    </row>
    <row r="105" spans="1:15" ht="17.100000000000001" customHeight="1">
      <c r="A105" s="330" t="s">
        <v>673</v>
      </c>
      <c r="B105" s="343" t="s">
        <v>674</v>
      </c>
      <c r="C105" s="383" t="s">
        <v>675</v>
      </c>
      <c r="D105" s="336" t="s">
        <v>676</v>
      </c>
      <c r="E105" s="337">
        <v>46295</v>
      </c>
      <c r="F105" s="339">
        <v>3</v>
      </c>
      <c r="J105" s="177"/>
      <c r="K105" s="177"/>
      <c r="L105" s="177"/>
      <c r="M105" s="15"/>
      <c r="N105" s="177"/>
      <c r="O105" s="177"/>
    </row>
    <row r="106" spans="1:15" ht="17.100000000000001" customHeight="1">
      <c r="A106" s="331"/>
      <c r="B106" s="382"/>
      <c r="C106" s="335"/>
      <c r="D106" s="333"/>
      <c r="E106" s="338"/>
      <c r="F106" s="340"/>
      <c r="J106" s="177"/>
      <c r="K106" s="177"/>
      <c r="L106" s="177"/>
      <c r="M106" s="15"/>
      <c r="N106" s="177"/>
      <c r="O106" s="177"/>
    </row>
    <row r="107" spans="1:15" ht="17.100000000000001" customHeight="1">
      <c r="A107" s="330" t="s">
        <v>677</v>
      </c>
      <c r="B107" s="336" t="s">
        <v>678</v>
      </c>
      <c r="C107" s="383" t="s">
        <v>679</v>
      </c>
      <c r="D107" s="336" t="s">
        <v>680</v>
      </c>
      <c r="E107" s="337" t="s">
        <v>681</v>
      </c>
      <c r="F107" s="339">
        <v>4</v>
      </c>
      <c r="J107" s="177"/>
      <c r="K107" s="177"/>
      <c r="L107" s="177"/>
      <c r="M107" s="15"/>
      <c r="N107" s="177"/>
      <c r="O107" s="177"/>
    </row>
    <row r="108" spans="1:15" ht="17.100000000000001" customHeight="1">
      <c r="A108" s="331"/>
      <c r="B108" s="333"/>
      <c r="C108" s="335"/>
      <c r="D108" s="333"/>
      <c r="E108" s="338"/>
      <c r="F108" s="340"/>
      <c r="J108" s="177"/>
      <c r="K108" s="177"/>
      <c r="L108" s="177"/>
      <c r="M108" s="15"/>
      <c r="N108" s="177"/>
      <c r="O108" s="177"/>
    </row>
    <row r="109" spans="1:15" ht="14.85" customHeight="1">
      <c r="A109" s="330" t="s">
        <v>682</v>
      </c>
      <c r="B109" s="336" t="s">
        <v>683</v>
      </c>
      <c r="C109" s="336" t="s">
        <v>684</v>
      </c>
      <c r="D109" s="336" t="s">
        <v>685</v>
      </c>
      <c r="E109" s="337">
        <v>46265</v>
      </c>
      <c r="F109" s="339">
        <v>3</v>
      </c>
      <c r="G109" s="28"/>
    </row>
    <row r="110" spans="1:15" ht="21.6" customHeight="1" thickBot="1">
      <c r="A110" s="331"/>
      <c r="B110" s="384"/>
      <c r="C110" s="384"/>
      <c r="D110" s="384"/>
      <c r="E110" s="338"/>
      <c r="F110" s="340"/>
      <c r="G110" s="28"/>
    </row>
    <row r="111" spans="1:15" ht="37.5" customHeight="1">
      <c r="A111" s="330" t="s">
        <v>637</v>
      </c>
      <c r="B111" s="385" t="s">
        <v>686</v>
      </c>
      <c r="C111" s="385" t="s">
        <v>687</v>
      </c>
      <c r="D111" s="385" t="s">
        <v>668</v>
      </c>
      <c r="E111" s="337">
        <v>46295</v>
      </c>
      <c r="F111" s="339">
        <v>3</v>
      </c>
      <c r="G111" s="28"/>
    </row>
    <row r="112" spans="1:15" ht="37.5" customHeight="1" thickBot="1">
      <c r="A112" s="331"/>
      <c r="B112" s="384"/>
      <c r="C112" s="384"/>
      <c r="D112" s="384"/>
      <c r="E112" s="338"/>
      <c r="F112" s="340"/>
      <c r="G112" s="28"/>
    </row>
    <row r="113" spans="1:8" ht="21.6" customHeight="1">
      <c r="A113" s="330" t="s">
        <v>633</v>
      </c>
      <c r="B113" s="385" t="s">
        <v>688</v>
      </c>
      <c r="C113" s="385" t="s">
        <v>689</v>
      </c>
      <c r="D113" s="385" t="s">
        <v>636</v>
      </c>
      <c r="E113" s="337">
        <v>46173</v>
      </c>
      <c r="F113" s="339">
        <v>5</v>
      </c>
      <c r="G113" s="28"/>
    </row>
    <row r="114" spans="1:8" ht="21.6" customHeight="1" thickBot="1">
      <c r="A114" s="331"/>
      <c r="B114" s="384"/>
      <c r="C114" s="384"/>
      <c r="D114" s="384"/>
      <c r="E114" s="338"/>
      <c r="F114" s="340"/>
      <c r="G114" s="28"/>
      <c r="H114" s="28"/>
    </row>
    <row r="115" spans="1:8" ht="21.6" customHeight="1">
      <c r="A115" s="330" t="s">
        <v>633</v>
      </c>
      <c r="B115" s="385" t="s">
        <v>690</v>
      </c>
      <c r="C115" s="385" t="s">
        <v>691</v>
      </c>
      <c r="D115" s="385" t="s">
        <v>636</v>
      </c>
      <c r="E115" s="337">
        <v>46173</v>
      </c>
      <c r="F115" s="339">
        <v>5</v>
      </c>
      <c r="G115" s="28"/>
    </row>
    <row r="116" spans="1:8" ht="21.6" customHeight="1" thickBot="1">
      <c r="A116" s="331"/>
      <c r="B116" s="384"/>
      <c r="C116" s="384"/>
      <c r="D116" s="384"/>
      <c r="E116" s="338"/>
      <c r="F116" s="340"/>
      <c r="G116" s="28"/>
    </row>
    <row r="117" spans="1:8" ht="21.6" customHeight="1">
      <c r="A117" s="330" t="s">
        <v>633</v>
      </c>
      <c r="B117" s="385" t="s">
        <v>692</v>
      </c>
      <c r="C117" s="385" t="s">
        <v>693</v>
      </c>
      <c r="D117" s="385" t="s">
        <v>636</v>
      </c>
      <c r="E117" s="337">
        <v>46295</v>
      </c>
      <c r="F117" s="339">
        <v>2</v>
      </c>
      <c r="G117" s="28"/>
    </row>
    <row r="118" spans="1:8" ht="21.6" customHeight="1" thickBot="1">
      <c r="A118" s="331"/>
      <c r="B118" s="384"/>
      <c r="C118" s="384"/>
      <c r="D118" s="384"/>
      <c r="E118" s="338"/>
      <c r="F118" s="340"/>
      <c r="G118" s="28"/>
    </row>
    <row r="119" spans="1:8" ht="32.85" customHeight="1">
      <c r="A119" s="330" t="s">
        <v>658</v>
      </c>
      <c r="B119" s="336" t="s">
        <v>694</v>
      </c>
      <c r="C119" s="332" t="s">
        <v>695</v>
      </c>
      <c r="D119" s="336" t="s">
        <v>668</v>
      </c>
      <c r="E119" s="337">
        <v>46233</v>
      </c>
      <c r="F119" s="339">
        <v>2</v>
      </c>
      <c r="G119" s="28"/>
    </row>
    <row r="120" spans="1:8" ht="32.85" customHeight="1" thickBot="1">
      <c r="A120" s="331"/>
      <c r="B120" s="384"/>
      <c r="C120" s="384"/>
      <c r="D120" s="384"/>
      <c r="E120" s="338"/>
      <c r="F120" s="340"/>
      <c r="G120" s="28"/>
    </row>
    <row r="121" spans="1:8" ht="32.85" customHeight="1">
      <c r="A121" s="330" t="s">
        <v>633</v>
      </c>
      <c r="B121" s="336" t="s">
        <v>696</v>
      </c>
      <c r="C121" s="334" t="s">
        <v>697</v>
      </c>
      <c r="D121" s="336" t="s">
        <v>636</v>
      </c>
      <c r="E121" s="337">
        <v>46233</v>
      </c>
      <c r="F121" s="339">
        <v>5</v>
      </c>
      <c r="G121" s="28"/>
    </row>
    <row r="122" spans="1:8" ht="32.85" customHeight="1">
      <c r="A122" s="331"/>
      <c r="B122" s="333"/>
      <c r="C122" s="335"/>
      <c r="D122" s="333"/>
      <c r="E122" s="338"/>
      <c r="F122" s="340"/>
      <c r="G122" s="28"/>
    </row>
    <row r="123" spans="1:8" ht="21.6" customHeight="1">
      <c r="A123" s="330" t="s">
        <v>633</v>
      </c>
      <c r="B123" s="336" t="s">
        <v>698</v>
      </c>
      <c r="C123" s="334" t="s">
        <v>699</v>
      </c>
      <c r="D123" s="336" t="s">
        <v>636</v>
      </c>
      <c r="E123" s="337">
        <v>46203</v>
      </c>
      <c r="F123" s="339">
        <v>5</v>
      </c>
      <c r="G123" s="28"/>
    </row>
    <row r="124" spans="1:8" ht="21.6" customHeight="1">
      <c r="A124" s="331"/>
      <c r="B124" s="333"/>
      <c r="C124" s="335"/>
      <c r="D124" s="333"/>
      <c r="E124" s="338"/>
      <c r="F124" s="340"/>
      <c r="G124" s="28"/>
    </row>
    <row r="125" spans="1:8" ht="21.6" customHeight="1">
      <c r="A125" s="330" t="s">
        <v>633</v>
      </c>
      <c r="B125" s="336" t="s">
        <v>700</v>
      </c>
      <c r="C125" s="334" t="s">
        <v>701</v>
      </c>
      <c r="D125" s="336" t="s">
        <v>636</v>
      </c>
      <c r="E125" s="337">
        <v>46280</v>
      </c>
      <c r="F125" s="339">
        <v>3</v>
      </c>
      <c r="G125" s="28"/>
    </row>
    <row r="126" spans="1:8" ht="21.6" customHeight="1">
      <c r="A126" s="331"/>
      <c r="B126" s="333"/>
      <c r="C126" s="335"/>
      <c r="D126" s="333"/>
      <c r="E126" s="338"/>
      <c r="F126" s="340"/>
      <c r="G126" s="28"/>
    </row>
    <row r="127" spans="1:8" ht="21.6" customHeight="1">
      <c r="A127" s="330" t="s">
        <v>637</v>
      </c>
      <c r="B127" s="332" t="s">
        <v>702</v>
      </c>
      <c r="C127" s="334" t="s">
        <v>703</v>
      </c>
      <c r="D127" s="336" t="s">
        <v>668</v>
      </c>
      <c r="E127" s="337">
        <v>46280</v>
      </c>
      <c r="F127" s="339">
        <v>3</v>
      </c>
      <c r="G127" s="28"/>
    </row>
    <row r="128" spans="1:8" ht="21.6" customHeight="1">
      <c r="A128" s="331"/>
      <c r="B128" s="333"/>
      <c r="C128" s="335"/>
      <c r="D128" s="333"/>
      <c r="E128" s="338"/>
      <c r="F128" s="340"/>
      <c r="G128" s="28"/>
    </row>
    <row r="129" spans="1:7" ht="21.6" customHeight="1">
      <c r="A129" s="330" t="s">
        <v>633</v>
      </c>
      <c r="B129" s="332" t="s">
        <v>704</v>
      </c>
      <c r="C129" s="334" t="s">
        <v>705</v>
      </c>
      <c r="D129" s="336" t="s">
        <v>636</v>
      </c>
      <c r="E129" s="337">
        <v>46280</v>
      </c>
      <c r="F129" s="339">
        <v>3</v>
      </c>
      <c r="G129" s="28"/>
    </row>
    <row r="130" spans="1:7" ht="21.6" customHeight="1">
      <c r="A130" s="331"/>
      <c r="B130" s="333"/>
      <c r="C130" s="335"/>
      <c r="D130" s="333"/>
      <c r="E130" s="338"/>
      <c r="F130" s="340"/>
      <c r="G130" s="28"/>
    </row>
    <row r="131" spans="1:7" ht="21.6" customHeight="1">
      <c r="A131" s="330"/>
      <c r="B131" s="332"/>
      <c r="C131" s="334"/>
      <c r="D131" s="336"/>
      <c r="E131" s="337"/>
      <c r="F131" s="339"/>
      <c r="G131" s="28"/>
    </row>
    <row r="132" spans="1:7" ht="21.6" customHeight="1" thickBot="1">
      <c r="A132" s="331"/>
      <c r="B132" s="333"/>
      <c r="C132" s="335"/>
      <c r="D132" s="333"/>
      <c r="E132" s="338"/>
      <c r="F132" s="340"/>
      <c r="G132" s="28"/>
    </row>
    <row r="133" spans="1:7">
      <c r="A133" s="34" t="s">
        <v>195</v>
      </c>
      <c r="B133" s="34" t="s">
        <v>196</v>
      </c>
      <c r="C133" s="35" t="s">
        <v>197</v>
      </c>
      <c r="D133" s="35" t="s">
        <v>198</v>
      </c>
      <c r="E133" s="377" t="s">
        <v>199</v>
      </c>
      <c r="F133" s="378"/>
      <c r="G133" s="28"/>
    </row>
    <row r="134" spans="1:7">
      <c r="A134" s="28"/>
      <c r="C134" s="28"/>
      <c r="D134" s="28"/>
      <c r="E134" s="28"/>
      <c r="F134" s="28"/>
    </row>
    <row r="135" spans="1:7">
      <c r="C135" s="28"/>
      <c r="D135" s="28"/>
      <c r="E135" s="28"/>
      <c r="F135" s="28"/>
    </row>
    <row r="154" spans="1:20">
      <c r="A154" s="341" t="s">
        <v>598</v>
      </c>
      <c r="B154" s="343" t="s">
        <v>599</v>
      </c>
      <c r="C154" s="328" t="s">
        <v>97</v>
      </c>
      <c r="D154" s="336">
        <v>54.9</v>
      </c>
      <c r="E154" s="328" t="s">
        <v>98</v>
      </c>
      <c r="F154" s="336" t="s">
        <v>99</v>
      </c>
      <c r="G154" s="328" t="s">
        <v>55</v>
      </c>
      <c r="H154" s="14" t="s">
        <v>29</v>
      </c>
      <c r="I154" s="51">
        <v>0.57399999999999995</v>
      </c>
      <c r="J154" s="51">
        <v>0.57699999999999996</v>
      </c>
      <c r="K154" s="51">
        <v>0.57899999999999996</v>
      </c>
      <c r="L154" s="51">
        <v>0.57999999999999996</v>
      </c>
      <c r="M154" s="51">
        <v>0.58099999999999996</v>
      </c>
      <c r="N154" s="51">
        <v>0.58199999999999996</v>
      </c>
      <c r="O154" s="51">
        <v>0.58299999999999996</v>
      </c>
      <c r="P154" s="51">
        <v>0.58399999999999996</v>
      </c>
      <c r="Q154" s="51">
        <v>0.58499999999999996</v>
      </c>
      <c r="R154" s="51">
        <v>0.58599999999999997</v>
      </c>
      <c r="S154" s="51">
        <v>0.58699999999999997</v>
      </c>
      <c r="T154" s="51">
        <v>0.58799999999999997</v>
      </c>
    </row>
    <row r="155" spans="1:20">
      <c r="A155" s="342"/>
      <c r="B155" s="344"/>
      <c r="C155" s="329"/>
      <c r="D155" s="329"/>
      <c r="E155" s="329"/>
      <c r="F155" s="333"/>
      <c r="G155" s="329"/>
      <c r="H155" s="14" t="s">
        <v>30</v>
      </c>
      <c r="I155" s="67">
        <v>0.55600000000000005</v>
      </c>
      <c r="J155" s="67">
        <v>0.55800000000000005</v>
      </c>
      <c r="K155" s="67">
        <v>0.56799999999999995</v>
      </c>
      <c r="L155" s="125">
        <v>0.57199999999999995</v>
      </c>
      <c r="M155" s="67">
        <v>0.57299999999999995</v>
      </c>
      <c r="N155" s="67">
        <v>0.57399999999999995</v>
      </c>
      <c r="O155" s="67">
        <v>0.57299999999999995</v>
      </c>
      <c r="P155" s="45"/>
      <c r="Q155" s="45"/>
      <c r="R155" s="45"/>
      <c r="S155" s="45"/>
      <c r="T155" s="45"/>
    </row>
    <row r="156" spans="1:20">
      <c r="O156" s="326"/>
    </row>
  </sheetData>
  <mergeCells count="272">
    <mergeCell ref="A119:A120"/>
    <mergeCell ref="B119:B120"/>
    <mergeCell ref="C119:C120"/>
    <mergeCell ref="D119:D120"/>
    <mergeCell ref="E119:E120"/>
    <mergeCell ref="F119:F120"/>
    <mergeCell ref="A125:A126"/>
    <mergeCell ref="B125:B126"/>
    <mergeCell ref="C125:C126"/>
    <mergeCell ref="D125:D126"/>
    <mergeCell ref="E125:E126"/>
    <mergeCell ref="F125:F126"/>
    <mergeCell ref="A123:A124"/>
    <mergeCell ref="B123:B124"/>
    <mergeCell ref="C123:C124"/>
    <mergeCell ref="D123:D124"/>
    <mergeCell ref="E123:E124"/>
    <mergeCell ref="F123:F124"/>
    <mergeCell ref="A117:A118"/>
    <mergeCell ref="B117:B118"/>
    <mergeCell ref="C117:C118"/>
    <mergeCell ref="D117:D118"/>
    <mergeCell ref="A113:A114"/>
    <mergeCell ref="B113:B114"/>
    <mergeCell ref="C113:C114"/>
    <mergeCell ref="D113:D114"/>
    <mergeCell ref="C109:C110"/>
    <mergeCell ref="D109:D110"/>
    <mergeCell ref="A111:A112"/>
    <mergeCell ref="B111:B112"/>
    <mergeCell ref="C111:C112"/>
    <mergeCell ref="D111:D112"/>
    <mergeCell ref="A115:A116"/>
    <mergeCell ref="B115:B116"/>
    <mergeCell ref="C115:C116"/>
    <mergeCell ref="D115:D116"/>
    <mergeCell ref="O101:O102"/>
    <mergeCell ref="O97:O98"/>
    <mergeCell ref="A97:A98"/>
    <mergeCell ref="B97:B98"/>
    <mergeCell ref="C97:C98"/>
    <mergeCell ref="D97:D98"/>
    <mergeCell ref="A121:A122"/>
    <mergeCell ref="B121:B122"/>
    <mergeCell ref="C121:C122"/>
    <mergeCell ref="D121:D122"/>
    <mergeCell ref="E121:E122"/>
    <mergeCell ref="F121:F122"/>
    <mergeCell ref="A105:A106"/>
    <mergeCell ref="B105:B106"/>
    <mergeCell ref="C105:C106"/>
    <mergeCell ref="D105:D106"/>
    <mergeCell ref="E105:E106"/>
    <mergeCell ref="F105:F106"/>
    <mergeCell ref="A107:A108"/>
    <mergeCell ref="B107:B108"/>
    <mergeCell ref="C107:C108"/>
    <mergeCell ref="D107:D108"/>
    <mergeCell ref="A109:A110"/>
    <mergeCell ref="B109:B110"/>
    <mergeCell ref="A99:A100"/>
    <mergeCell ref="B99:B100"/>
    <mergeCell ref="C99:C100"/>
    <mergeCell ref="D99:D100"/>
    <mergeCell ref="A101:A102"/>
    <mergeCell ref="B101:B102"/>
    <mergeCell ref="F103:F104"/>
    <mergeCell ref="C101:C102"/>
    <mergeCell ref="D101:D102"/>
    <mergeCell ref="A103:A104"/>
    <mergeCell ref="B103:B104"/>
    <mergeCell ref="C103:C104"/>
    <mergeCell ref="D103:D104"/>
    <mergeCell ref="E107:E108"/>
    <mergeCell ref="F107:F108"/>
    <mergeCell ref="E133:F133"/>
    <mergeCell ref="I101:I102"/>
    <mergeCell ref="J101:J102"/>
    <mergeCell ref="K101:K102"/>
    <mergeCell ref="L101:L102"/>
    <mergeCell ref="M101:M102"/>
    <mergeCell ref="N101:N102"/>
    <mergeCell ref="E103:E104"/>
    <mergeCell ref="E111:E112"/>
    <mergeCell ref="E109:E110"/>
    <mergeCell ref="F109:F110"/>
    <mergeCell ref="F111:F112"/>
    <mergeCell ref="E117:E118"/>
    <mergeCell ref="F117:F118"/>
    <mergeCell ref="E113:E114"/>
    <mergeCell ref="F113:F114"/>
    <mergeCell ref="E115:E116"/>
    <mergeCell ref="F115:F116"/>
    <mergeCell ref="M97:M98"/>
    <mergeCell ref="N97:N98"/>
    <mergeCell ref="I97:I98"/>
    <mergeCell ref="J97:J98"/>
    <mergeCell ref="K97:K98"/>
    <mergeCell ref="L97:L98"/>
    <mergeCell ref="E99:E100"/>
    <mergeCell ref="F99:F100"/>
    <mergeCell ref="E101:E102"/>
    <mergeCell ref="F101:F102"/>
    <mergeCell ref="E97:E98"/>
    <mergeCell ref="H101:H102"/>
    <mergeCell ref="F97:F98"/>
    <mergeCell ref="H97:H98"/>
    <mergeCell ref="I99:I100"/>
    <mergeCell ref="J99:J100"/>
    <mergeCell ref="K99:K100"/>
    <mergeCell ref="L99:L100"/>
    <mergeCell ref="M99:M100"/>
    <mergeCell ref="N99:N100"/>
    <mergeCell ref="K93:K94"/>
    <mergeCell ref="L93:L94"/>
    <mergeCell ref="M93:M94"/>
    <mergeCell ref="N93:N94"/>
    <mergeCell ref="K95:K96"/>
    <mergeCell ref="L95:L96"/>
    <mergeCell ref="M95:M96"/>
    <mergeCell ref="N95:N96"/>
    <mergeCell ref="O95:O96"/>
    <mergeCell ref="A95:A96"/>
    <mergeCell ref="B95:B96"/>
    <mergeCell ref="C95:C96"/>
    <mergeCell ref="D95:D96"/>
    <mergeCell ref="E95:E96"/>
    <mergeCell ref="F95:F96"/>
    <mergeCell ref="H95:H96"/>
    <mergeCell ref="I95:I96"/>
    <mergeCell ref="J95:J96"/>
    <mergeCell ref="A91:A92"/>
    <mergeCell ref="B91:B92"/>
    <mergeCell ref="C91:C92"/>
    <mergeCell ref="D91:D92"/>
    <mergeCell ref="E91:E92"/>
    <mergeCell ref="M91:M92"/>
    <mergeCell ref="N91:N92"/>
    <mergeCell ref="O91:O92"/>
    <mergeCell ref="A93:A94"/>
    <mergeCell ref="B93:B94"/>
    <mergeCell ref="C93:C94"/>
    <mergeCell ref="D93:D94"/>
    <mergeCell ref="E93:E94"/>
    <mergeCell ref="F93:F94"/>
    <mergeCell ref="H93:H94"/>
    <mergeCell ref="F91:F92"/>
    <mergeCell ref="H91:H92"/>
    <mergeCell ref="I91:I92"/>
    <mergeCell ref="J91:J92"/>
    <mergeCell ref="K91:K92"/>
    <mergeCell ref="L91:L92"/>
    <mergeCell ref="O93:O94"/>
    <mergeCell ref="I93:I94"/>
    <mergeCell ref="J93:J94"/>
    <mergeCell ref="H87:O87"/>
    <mergeCell ref="A89:A90"/>
    <mergeCell ref="B89:B90"/>
    <mergeCell ref="C89:C90"/>
    <mergeCell ref="D89:D90"/>
    <mergeCell ref="E89:E90"/>
    <mergeCell ref="F89:F90"/>
    <mergeCell ref="H89:H90"/>
    <mergeCell ref="I89:I90"/>
    <mergeCell ref="J89:J90"/>
    <mergeCell ref="K89:K90"/>
    <mergeCell ref="L89:L90"/>
    <mergeCell ref="M89:M90"/>
    <mergeCell ref="N89:N90"/>
    <mergeCell ref="O89:O90"/>
    <mergeCell ref="G24:G25"/>
    <mergeCell ref="A46:E46"/>
    <mergeCell ref="A48:B48"/>
    <mergeCell ref="A49:A50"/>
    <mergeCell ref="B49:F49"/>
    <mergeCell ref="A87:F87"/>
    <mergeCell ref="A24:A25"/>
    <mergeCell ref="B24:B25"/>
    <mergeCell ref="C24:C25"/>
    <mergeCell ref="D24:D25"/>
    <mergeCell ref="E24:E25"/>
    <mergeCell ref="F24:F25"/>
    <mergeCell ref="A26:A27"/>
    <mergeCell ref="B26:B27"/>
    <mergeCell ref="C26:C27"/>
    <mergeCell ref="D26:D27"/>
    <mergeCell ref="E26:E27"/>
    <mergeCell ref="F26:F27"/>
    <mergeCell ref="G26:G27"/>
    <mergeCell ref="G20:G21"/>
    <mergeCell ref="A22:A23"/>
    <mergeCell ref="B22:B23"/>
    <mergeCell ref="C22:C23"/>
    <mergeCell ref="D22:D23"/>
    <mergeCell ref="E22:E23"/>
    <mergeCell ref="F22:F23"/>
    <mergeCell ref="G22:G23"/>
    <mergeCell ref="A20:A21"/>
    <mergeCell ref="B20:B21"/>
    <mergeCell ref="C20:C21"/>
    <mergeCell ref="D20:D21"/>
    <mergeCell ref="E20:E21"/>
    <mergeCell ref="F20:F21"/>
    <mergeCell ref="A10:A11"/>
    <mergeCell ref="B10:B11"/>
    <mergeCell ref="C10:C11"/>
    <mergeCell ref="D10:D11"/>
    <mergeCell ref="E10:E11"/>
    <mergeCell ref="F10:F1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O99:O100"/>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 ref="G10:G11"/>
    <mergeCell ref="A14:A15"/>
    <mergeCell ref="B14:B15"/>
    <mergeCell ref="C14:C15"/>
    <mergeCell ref="D14:D15"/>
    <mergeCell ref="E14:E15"/>
    <mergeCell ref="F14:F15"/>
    <mergeCell ref="G14:G15"/>
    <mergeCell ref="A127:A128"/>
    <mergeCell ref="B127:B128"/>
    <mergeCell ref="C127:C128"/>
    <mergeCell ref="D127:D128"/>
    <mergeCell ref="E127:E128"/>
    <mergeCell ref="F127:F128"/>
    <mergeCell ref="A129:A130"/>
    <mergeCell ref="B129:B130"/>
    <mergeCell ref="C129:C130"/>
    <mergeCell ref="D129:D130"/>
    <mergeCell ref="E129:E130"/>
    <mergeCell ref="F129:F130"/>
    <mergeCell ref="G154:G155"/>
    <mergeCell ref="A131:A132"/>
    <mergeCell ref="B131:B132"/>
    <mergeCell ref="C131:C132"/>
    <mergeCell ref="D131:D132"/>
    <mergeCell ref="E131:E132"/>
    <mergeCell ref="F131:F132"/>
    <mergeCell ref="A154:A155"/>
    <mergeCell ref="B154:B155"/>
    <mergeCell ref="C154:C155"/>
    <mergeCell ref="D154:D155"/>
    <mergeCell ref="E154:E155"/>
    <mergeCell ref="F154:F155"/>
  </mergeCells>
  <conditionalFormatting sqref="A51 C51:F51 B52:F52 A54 C54:F54 B55:F55 A60 A63">
    <cfRule type="containsBlanks" dxfId="226" priority="135">
      <formula>LEN(TRIM(A51))=0</formula>
    </cfRule>
  </conditionalFormatting>
  <conditionalFormatting sqref="A57">
    <cfRule type="containsBlanks" dxfId="225" priority="17">
      <formula>LEN(TRIM(A57))=0</formula>
    </cfRule>
  </conditionalFormatting>
  <conditionalFormatting sqref="A89:A132">
    <cfRule type="containsBlanks" dxfId="224" priority="26">
      <formula>LEN(TRIM(A89))=0</formula>
    </cfRule>
  </conditionalFormatting>
  <conditionalFormatting sqref="A66:F66 B67:F67">
    <cfRule type="containsBlanks" dxfId="223" priority="20">
      <formula>LEN(TRIM(A66))=0</formula>
    </cfRule>
  </conditionalFormatting>
  <conditionalFormatting sqref="A69:F69 B70:F70">
    <cfRule type="containsBlanks" dxfId="222" priority="19">
      <formula>LEN(TRIM(A69))=0</formula>
    </cfRule>
  </conditionalFormatting>
  <conditionalFormatting sqref="A6:G6 A8:G8 A10:G10">
    <cfRule type="containsBlanks" dxfId="221" priority="139">
      <formula>LEN(TRIM(A6))=0</formula>
    </cfRule>
  </conditionalFormatting>
  <conditionalFormatting sqref="A14:G14 A16:G16 A18:G18 A20:G20 A22:G22 A24:G24">
    <cfRule type="containsBlanks" dxfId="220" priority="150">
      <formula>LEN(TRIM(A14))=0</formula>
    </cfRule>
  </conditionalFormatting>
  <conditionalFormatting sqref="A26:G26">
    <cfRule type="containsBlanks" dxfId="219" priority="124">
      <formula>LEN(TRIM(A26))=0</formula>
    </cfRule>
  </conditionalFormatting>
  <conditionalFormatting sqref="A154:G154">
    <cfRule type="containsBlanks" dxfId="218" priority="6">
      <formula>LEN(TRIM(A154))=0</formula>
    </cfRule>
  </conditionalFormatting>
  <conditionalFormatting sqref="B89:E89 B91:E91 B93:E93 B95:E95 B109:E109">
    <cfRule type="containsBlanks" dxfId="217" priority="145">
      <formula>LEN(TRIM(B89))=0</formula>
    </cfRule>
  </conditionalFormatting>
  <conditionalFormatting sqref="B97:E97">
    <cfRule type="containsBlanks" dxfId="216" priority="54">
      <formula>LEN(TRIM(B97))=0</formula>
    </cfRule>
  </conditionalFormatting>
  <conditionalFormatting sqref="B99:E99">
    <cfRule type="containsBlanks" dxfId="215" priority="115">
      <formula>LEN(TRIM(B99))=0</formula>
    </cfRule>
  </conditionalFormatting>
  <conditionalFormatting sqref="B101:E101">
    <cfRule type="containsBlanks" dxfId="214" priority="44">
      <formula>LEN(TRIM(B101))=0</formula>
    </cfRule>
  </conditionalFormatting>
  <conditionalFormatting sqref="B103:E103">
    <cfRule type="containsBlanks" dxfId="213" priority="92">
      <formula>LEN(TRIM(B103))=0</formula>
    </cfRule>
  </conditionalFormatting>
  <conditionalFormatting sqref="B105:E105">
    <cfRule type="containsBlanks" dxfId="212" priority="52">
      <formula>LEN(TRIM(B105))=0</formula>
    </cfRule>
  </conditionalFormatting>
  <conditionalFormatting sqref="B107:E107">
    <cfRule type="containsBlanks" dxfId="211" priority="48">
      <formula>LEN(TRIM(B107))=0</formula>
    </cfRule>
  </conditionalFormatting>
  <conditionalFormatting sqref="B111:E111">
    <cfRule type="containsBlanks" dxfId="210" priority="77">
      <formula>LEN(TRIM(B111))=0</formula>
    </cfRule>
  </conditionalFormatting>
  <conditionalFormatting sqref="B113:E113">
    <cfRule type="containsBlanks" dxfId="209" priority="74">
      <formula>LEN(TRIM(B113))=0</formula>
    </cfRule>
  </conditionalFormatting>
  <conditionalFormatting sqref="B115:E115">
    <cfRule type="containsBlanks" dxfId="208" priority="71">
      <formula>LEN(TRIM(B115))=0</formula>
    </cfRule>
  </conditionalFormatting>
  <conditionalFormatting sqref="B117:E117">
    <cfRule type="containsBlanks" dxfId="207" priority="64">
      <formula>LEN(TRIM(B117))=0</formula>
    </cfRule>
  </conditionalFormatting>
  <conditionalFormatting sqref="B119:E119">
    <cfRule type="containsBlanks" dxfId="206" priority="57">
      <formula>LEN(TRIM(B119))=0</formula>
    </cfRule>
  </conditionalFormatting>
  <conditionalFormatting sqref="B121:E121">
    <cfRule type="containsBlanks" dxfId="205" priority="36">
      <formula>LEN(TRIM(B121))=0</formula>
    </cfRule>
  </conditionalFormatting>
  <conditionalFormatting sqref="B123:E123">
    <cfRule type="containsBlanks" dxfId="204" priority="43">
      <formula>LEN(TRIM(B123))=0</formula>
    </cfRule>
  </conditionalFormatting>
  <conditionalFormatting sqref="B125:E125">
    <cfRule type="containsBlanks" dxfId="203" priority="25">
      <formula>LEN(TRIM(B125))=0</formula>
    </cfRule>
  </conditionalFormatting>
  <conditionalFormatting sqref="B127:E127">
    <cfRule type="containsBlanks" dxfId="202" priority="15">
      <formula>LEN(TRIM(B127))=0</formula>
    </cfRule>
  </conditionalFormatting>
  <conditionalFormatting sqref="B129:E129">
    <cfRule type="containsBlanks" dxfId="201" priority="12">
      <formula>LEN(TRIM(B129))=0</formula>
    </cfRule>
  </conditionalFormatting>
  <conditionalFormatting sqref="B131:E131">
    <cfRule type="containsBlanks" dxfId="200" priority="9">
      <formula>LEN(TRIM(B131))=0</formula>
    </cfRule>
  </conditionalFormatting>
  <conditionalFormatting sqref="B57:F58">
    <cfRule type="containsBlanks" dxfId="199" priority="16">
      <formula>LEN(TRIM(B57))=0</formula>
    </cfRule>
  </conditionalFormatting>
  <conditionalFormatting sqref="B63:F64">
    <cfRule type="containsBlanks" dxfId="198" priority="30">
      <formula>LEN(TRIM(B63))=0</formula>
    </cfRule>
  </conditionalFormatting>
  <conditionalFormatting sqref="D1">
    <cfRule type="containsBlanks" dxfId="197" priority="131">
      <formula>LEN(TRIM(D1))=0</formula>
    </cfRule>
  </conditionalFormatting>
  <conditionalFormatting sqref="F1">
    <cfRule type="containsBlanks" dxfId="196" priority="153">
      <formula>LEN(TRIM(F1))=0</formula>
    </cfRule>
  </conditionalFormatting>
  <conditionalFormatting sqref="F89 F91 F93 F95 F97 F109">
    <cfRule type="expression" dxfId="195" priority="374">
      <formula>AND(#REF!&lt;&gt;"",E89&lt;TODAY(),F89&lt;4)</formula>
    </cfRule>
    <cfRule type="iconSet" priority="373">
      <iconSet iconSet="5Quarters" showValue="0">
        <cfvo type="percent" val="0"/>
        <cfvo type="num" val="2"/>
        <cfvo type="num" val="3"/>
        <cfvo type="num" val="4"/>
        <cfvo type="num" val="5"/>
      </iconSet>
    </cfRule>
  </conditionalFormatting>
  <conditionalFormatting sqref="F99">
    <cfRule type="expression" dxfId="194" priority="117">
      <formula>AND(#REF!&lt;&gt;"",E99&lt;TODAY(),F99&lt;4)</formula>
    </cfRule>
    <cfRule type="iconSet" priority="116">
      <iconSet iconSet="5Quarters" showValue="0">
        <cfvo type="percent" val="0"/>
        <cfvo type="num" val="2"/>
        <cfvo type="num" val="3"/>
        <cfvo type="num" val="4"/>
        <cfvo type="num" val="5"/>
      </iconSet>
    </cfRule>
  </conditionalFormatting>
  <conditionalFormatting sqref="F101">
    <cfRule type="expression" dxfId="193" priority="108">
      <formula>AND(#REF!&lt;&gt;"",E101&lt;TODAY(),F101&lt;4)</formula>
    </cfRule>
    <cfRule type="iconSet" priority="107">
      <iconSet iconSet="5Quarters" showValue="0">
        <cfvo type="percent" val="0"/>
        <cfvo type="num" val="2"/>
        <cfvo type="num" val="3"/>
        <cfvo type="num" val="4"/>
        <cfvo type="num" val="5"/>
      </iconSet>
    </cfRule>
  </conditionalFormatting>
  <conditionalFormatting sqref="F103 F105 F107">
    <cfRule type="expression" dxfId="192" priority="94">
      <formula>AND(#REF!&lt;&gt;"",E103&lt;TODAY(),F103&lt;4)</formula>
    </cfRule>
    <cfRule type="iconSet" priority="93">
      <iconSet iconSet="5Quarters" showValue="0">
        <cfvo type="percent" val="0"/>
        <cfvo type="num" val="2"/>
        <cfvo type="num" val="3"/>
        <cfvo type="num" val="4"/>
        <cfvo type="num" val="5"/>
      </iconSet>
    </cfRule>
  </conditionalFormatting>
  <conditionalFormatting sqref="F111">
    <cfRule type="expression" dxfId="191" priority="76">
      <formula>AND(#REF!&lt;&gt;"",E111&lt;TODAY(),F111&lt;4)</formula>
    </cfRule>
    <cfRule type="iconSet" priority="75">
      <iconSet iconSet="5Quarters" showValue="0">
        <cfvo type="percent" val="0"/>
        <cfvo type="num" val="2"/>
        <cfvo type="num" val="3"/>
        <cfvo type="num" val="4"/>
        <cfvo type="num" val="5"/>
      </iconSet>
    </cfRule>
  </conditionalFormatting>
  <conditionalFormatting sqref="F113">
    <cfRule type="iconSet" priority="72">
      <iconSet iconSet="5Quarters" showValue="0">
        <cfvo type="percent" val="0"/>
        <cfvo type="num" val="2"/>
        <cfvo type="num" val="3"/>
        <cfvo type="num" val="4"/>
        <cfvo type="num" val="5"/>
      </iconSet>
    </cfRule>
    <cfRule type="expression" dxfId="190" priority="73">
      <formula>AND(#REF!&lt;&gt;"",E113&lt;TODAY(),F113&lt;4)</formula>
    </cfRule>
  </conditionalFormatting>
  <conditionalFormatting sqref="F115">
    <cfRule type="iconSet" priority="69">
      <iconSet iconSet="5Quarters" showValue="0">
        <cfvo type="percent" val="0"/>
        <cfvo type="num" val="2"/>
        <cfvo type="num" val="3"/>
        <cfvo type="num" val="4"/>
        <cfvo type="num" val="5"/>
      </iconSet>
    </cfRule>
    <cfRule type="expression" dxfId="189" priority="70">
      <formula>AND(#REF!&lt;&gt;"",E115&lt;TODAY(),F115&lt;4)</formula>
    </cfRule>
  </conditionalFormatting>
  <conditionalFormatting sqref="F117">
    <cfRule type="expression" dxfId="188" priority="63">
      <formula>AND(#REF!&lt;&gt;"",E117&lt;TODAY(),F117&lt;4)</formula>
    </cfRule>
    <cfRule type="iconSet" priority="62">
      <iconSet iconSet="5Quarters" showValue="0">
        <cfvo type="percent" val="0"/>
        <cfvo type="num" val="2"/>
        <cfvo type="num" val="3"/>
        <cfvo type="num" val="4"/>
        <cfvo type="num" val="5"/>
      </iconSet>
    </cfRule>
  </conditionalFormatting>
  <conditionalFormatting sqref="F119">
    <cfRule type="expression" dxfId="187" priority="56">
      <formula>AND(#REF!&lt;&gt;"",E119&lt;TODAY(),F119&lt;4)</formula>
    </cfRule>
    <cfRule type="iconSet" priority="55">
      <iconSet iconSet="5Quarters" showValue="0">
        <cfvo type="percent" val="0"/>
        <cfvo type="num" val="2"/>
        <cfvo type="num" val="3"/>
        <cfvo type="num" val="4"/>
        <cfvo type="num" val="5"/>
      </iconSet>
    </cfRule>
  </conditionalFormatting>
  <conditionalFormatting sqref="F121">
    <cfRule type="expression" dxfId="186" priority="35">
      <formula>AND(#REF!&lt;&gt;"",E121&lt;TODAY(),F121&lt;4)</formula>
    </cfRule>
    <cfRule type="iconSet" priority="34">
      <iconSet iconSet="5Quarters" showValue="0">
        <cfvo type="percent" val="0"/>
        <cfvo type="num" val="2"/>
        <cfvo type="num" val="3"/>
        <cfvo type="num" val="4"/>
        <cfvo type="num" val="5"/>
      </iconSet>
    </cfRule>
  </conditionalFormatting>
  <conditionalFormatting sqref="F123">
    <cfRule type="expression" dxfId="185" priority="42">
      <formula>AND(#REF!&lt;&gt;"",E123&lt;TODAY(),F123&lt;4)</formula>
    </cfRule>
    <cfRule type="iconSet" priority="41">
      <iconSet iconSet="5Quarters" showValue="0">
        <cfvo type="percent" val="0"/>
        <cfvo type="num" val="2"/>
        <cfvo type="num" val="3"/>
        <cfvo type="num" val="4"/>
        <cfvo type="num" val="5"/>
      </iconSet>
    </cfRule>
  </conditionalFormatting>
  <conditionalFormatting sqref="F125">
    <cfRule type="iconSet" priority="23">
      <iconSet iconSet="5Quarters" showValue="0">
        <cfvo type="percent" val="0"/>
        <cfvo type="num" val="2"/>
        <cfvo type="num" val="3"/>
        <cfvo type="num" val="4"/>
        <cfvo type="num" val="5"/>
      </iconSet>
    </cfRule>
    <cfRule type="expression" dxfId="184" priority="24">
      <formula>AND(#REF!&lt;&gt;"",E125&lt;TODAY(),F125&lt;4)</formula>
    </cfRule>
  </conditionalFormatting>
  <conditionalFormatting sqref="F127">
    <cfRule type="expression" dxfId="183" priority="14">
      <formula>AND(#REF!&lt;&gt;"",E127&lt;TODAY(),F127&lt;4)</formula>
    </cfRule>
    <cfRule type="iconSet" priority="13">
      <iconSet iconSet="5Quarters" showValue="0">
        <cfvo type="percent" val="0"/>
        <cfvo type="num" val="2"/>
        <cfvo type="num" val="3"/>
        <cfvo type="num" val="4"/>
        <cfvo type="num" val="5"/>
      </iconSet>
    </cfRule>
  </conditionalFormatting>
  <conditionalFormatting sqref="F129">
    <cfRule type="expression" dxfId="182" priority="11">
      <formula>AND(#REF!&lt;&gt;"",E129&lt;TODAY(),F129&lt;4)</formula>
    </cfRule>
    <cfRule type="iconSet" priority="10">
      <iconSet iconSet="5Quarters" showValue="0">
        <cfvo type="percent" val="0"/>
        <cfvo type="num" val="2"/>
        <cfvo type="num" val="3"/>
        <cfvo type="num" val="4"/>
        <cfvo type="num" val="5"/>
      </iconSet>
    </cfRule>
  </conditionalFormatting>
  <conditionalFormatting sqref="F131">
    <cfRule type="iconSet" priority="7">
      <iconSet iconSet="5Quarters" showValue="0">
        <cfvo type="percent" val="0"/>
        <cfvo type="num" val="2"/>
        <cfvo type="num" val="3"/>
        <cfvo type="num" val="4"/>
        <cfvo type="num" val="5"/>
      </iconSet>
    </cfRule>
    <cfRule type="expression" dxfId="181" priority="8">
      <formula>AND(#REF!&lt;&gt;"",E131&lt;TODAY(),F131&lt;4)</formula>
    </cfRule>
  </conditionalFormatting>
  <conditionalFormatting sqref="G60 B60:F61">
    <cfRule type="containsBlanks" dxfId="180" priority="31">
      <formula>LEN(TRIM(B60))=0</formula>
    </cfRule>
  </conditionalFormatting>
  <conditionalFormatting sqref="H89:H102">
    <cfRule type="containsBlanks" dxfId="179" priority="134">
      <formula>LEN(TRIM(H89))=0</formula>
    </cfRule>
  </conditionalFormatting>
  <conditionalFormatting sqref="I89:O89 I91:O91 I93:O93 I95:O95 I97:O97 I101:O101">
    <cfRule type="containsBlanks" dxfId="178" priority="144">
      <formula>LEN(TRIM(I89))=0</formula>
    </cfRule>
  </conditionalFormatting>
  <conditionalFormatting sqref="I99:O99">
    <cfRule type="containsBlanks" dxfId="177" priority="22">
      <formula>LEN(TRIM(I99))=0</formula>
    </cfRule>
  </conditionalFormatting>
  <conditionalFormatting sqref="I7:T7 I9:T9 I11:T11">
    <cfRule type="expression" dxfId="176" priority="141">
      <formula>AND(OR($F6="Lower the better", $F6="Lower the Better"), I7&lt;=I6)</formula>
    </cfRule>
    <cfRule type="expression" dxfId="175" priority="142">
      <formula>AND(OR($F6="Higher the better", $F6="Higher the Better"), I7&lt;I6)</formula>
    </cfRule>
    <cfRule type="expression" dxfId="174" priority="143" stopIfTrue="1">
      <formula>AND(OR($F6="Higher the better", $F6="Higher the Better"), I7&gt;=I6)</formula>
    </cfRule>
    <cfRule type="containsBlanks" dxfId="173" priority="137">
      <formula>LEN(TRIM(I7))=0</formula>
    </cfRule>
    <cfRule type="expression" dxfId="172" priority="140">
      <formula>AND(OR($F6="Lower the better", $F6="Lower the Better"), I7&gt;I6)</formula>
    </cfRule>
  </conditionalFormatting>
  <conditionalFormatting sqref="I15:T15 I17:T17 I19:T19 I21:T21 I23:T23 I25:T25 I27:T27">
    <cfRule type="containsBlanks" dxfId="171" priority="118">
      <formula>LEN(TRIM(I15))=0</formula>
    </cfRule>
  </conditionalFormatting>
  <conditionalFormatting sqref="I15:T15">
    <cfRule type="expression" dxfId="170" priority="146">
      <formula>AND(OR($F14="Lower the better", $F14="Lower the Better"), I15&gt;I14)</formula>
    </cfRule>
    <cfRule type="expression" dxfId="169" priority="147">
      <formula>AND(OR($F14="Lower the better", $F14="Lower the Better"), I15&lt;=I14)</formula>
    </cfRule>
    <cfRule type="expression" dxfId="168" priority="149" stopIfTrue="1">
      <formula>AND(OR($F14="Higher the better", $F14="Higher the Better"), I15&gt;=I14)</formula>
    </cfRule>
    <cfRule type="expression" dxfId="167" priority="148">
      <formula>AND(OR($F14="Higher the better", $F14="Higher the Better"), I15&lt;I14)</formula>
    </cfRule>
  </conditionalFormatting>
  <conditionalFormatting sqref="I17:T17 I19:T19 I21:T21 I23:T23 I25:T25 I27:T27">
    <cfRule type="expression" dxfId="166" priority="122">
      <formula>AND(OR($F16="Higher the better", $F16="Higher the Better"), I17&gt;=I16)</formula>
    </cfRule>
    <cfRule type="expression" dxfId="165" priority="120">
      <formula>AND(OR($F16="Lower the better", $F16="Lower the Better"), I17&lt;=I16)</formula>
    </cfRule>
    <cfRule type="expression" dxfId="164" priority="119">
      <formula>AND(OR($F16="Lower the better", $F16="Lower the Better"), I17&gt;I16)</formula>
    </cfRule>
    <cfRule type="expression" dxfId="163" priority="121">
      <formula>AND(OR($F16="Higher the better", $F16="Higher the Better"), I17&lt;I16)</formula>
    </cfRule>
  </conditionalFormatting>
  <conditionalFormatting sqref="I155:T155">
    <cfRule type="expression" dxfId="162" priority="5" stopIfTrue="1">
      <formula>AND(OR($F154="Higher the better", $F154="Higher the Better"), I155&gt;=I154)</formula>
    </cfRule>
    <cfRule type="expression" dxfId="161" priority="4">
      <formula>AND(OR($F154="Higher the better", $F154="Higher the Better"), I155&lt;I154)</formula>
    </cfRule>
    <cfRule type="expression" dxfId="160" priority="3">
      <formula>AND(OR($F154="Lower the better", $F154="Lower the Better"), I155&lt;=I154)</formula>
    </cfRule>
    <cfRule type="expression" dxfId="159" priority="2">
      <formula>AND(OR($F154="Lower the better", $F154="Lower the Better"), I155&gt;I154)</formula>
    </cfRule>
    <cfRule type="containsBlanks" dxfId="158" priority="1">
      <formula>LEN(TRIM(I155))=0</formula>
    </cfRule>
  </conditionalFormatting>
  <conditionalFormatting sqref="M89:M108">
    <cfRule type="containsText" dxfId="157" priority="132" operator="containsText" text="No">
      <formula>NOT(ISERROR(SEARCH("No",M89)))</formula>
    </cfRule>
    <cfRule type="containsText" dxfId="156" priority="133" operator="containsText" text="Yes">
      <formula>NOT(ISERROR(SEARCH("Yes",M89)))</formula>
    </cfRule>
  </conditionalFormatting>
  <dataValidations count="7">
    <dataValidation type="list" allowBlank="1" showInputMessage="1" showErrorMessage="1" sqref="F89:G89 F91:G91 F93:G93 F95:G95 F97:G97 F109 F101:G101 F99 F103 F105 F107 F111 F113 F115 F117 F119 F123 F121 F125 F127 F129 F131" xr:uid="{FE380DDE-63B5-4A80-AF9F-DF3C2D0E132F}">
      <formula1>"1,2,3,4,5"</formula1>
    </dataValidation>
    <dataValidation type="list" allowBlank="1" showInputMessage="1" showErrorMessage="1" sqref="F6:F11 F14:F27 F154:F155" xr:uid="{0F13634D-0161-4E6B-BEF3-8608100AEB69}">
      <formula1>"Higher the better, Lower the better"</formula1>
    </dataValidation>
    <dataValidation type="list" allowBlank="1" showInputMessage="1" showErrorMessage="1" sqref="G6:G11 G14:G27 G154:G155" xr:uid="{176EF92F-91ED-4279-B14E-FEC3AA687221}">
      <formula1>"Monthly, Quarterly, Half yearly"</formula1>
    </dataValidation>
    <dataValidation type="list" allowBlank="1" showInputMessage="1" showErrorMessage="1" sqref="C6:C11 C14:C27 C154:C155" xr:uid="{FAC007AA-1784-4C8E-AA8C-30DD804BE342}">
      <formula1>"&gt;, &lt;, &gt;=, &lt;=, ="</formula1>
    </dataValidation>
    <dataValidation type="list" allowBlank="1" showInputMessage="1" showErrorMessage="1" sqref="M89 M91 M93 M95 M97 M101" xr:uid="{780FD15B-51D2-4155-A94B-4BD091C0FEC1}">
      <formula1>"Yes, No"</formula1>
    </dataValidation>
    <dataValidation type="list" allowBlank="1" showInputMessage="1" showErrorMessage="1" sqref="B1:B2" xr:uid="{EEAD5E1B-5C95-4988-AEDD-4357E60BCEEE}">
      <formula1>"Jan-2026, Feb-2026, Mar-2026, Apr-2026, May-2026, Jun-2026, Jul-2026, Aug-2026, Sep-2026, Oct-2026, Nov-2026, Dec-2026"</formula1>
    </dataValidation>
    <dataValidation type="list" allowBlank="1" showInputMessage="1" showErrorMessage="1" sqref="E6:E11 E14:E27 E154:E155" xr:uid="{25A587E7-6B83-49D6-8CD5-22DBBE60CD15}">
      <formula1>"%, Mn, No., "</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C66DE-CBD5-4068-8149-31FC62F1E466}">
  <sheetPr codeName="Sheet10"/>
  <dimension ref="A1:AI100"/>
  <sheetViews>
    <sheetView zoomScale="72" zoomScaleNormal="72" workbookViewId="0">
      <selection activeCell="A3" sqref="A3:B3"/>
    </sheetView>
  </sheetViews>
  <sheetFormatPr defaultRowHeight="14.45"/>
  <cols>
    <col min="1" max="1" width="21" customWidth="1"/>
    <col min="2" max="2" width="22.42578125" style="28" customWidth="1"/>
    <col min="3" max="3" width="20.42578125" style="28" customWidth="1"/>
    <col min="4" max="4" width="18.42578125" style="28" customWidth="1"/>
    <col min="5" max="5" width="20.5703125" style="28" customWidth="1"/>
    <col min="6" max="6" width="17.42578125" customWidth="1"/>
    <col min="7" max="7" width="12" customWidth="1"/>
    <col min="8" max="8" width="13.5703125"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3" width="10.5703125" hidden="1" customWidth="1"/>
    <col min="24" max="24" width="8.5703125" hidden="1" customWidth="1"/>
    <col min="25" max="25" width="14.42578125" hidden="1" customWidth="1"/>
    <col min="26" max="28" width="8.5703125" hidden="1" customWidth="1"/>
    <col min="29" max="29" width="5.42578125" hidden="1" customWidth="1"/>
    <col min="30" max="35" width="8.5703125" hidden="1" customWidth="1"/>
    <col min="36" max="49" width="8.5703125" customWidth="1"/>
  </cols>
  <sheetData>
    <row r="1" spans="1:35" ht="19.350000000000001" customHeight="1">
      <c r="A1" s="181" t="s">
        <v>0</v>
      </c>
      <c r="B1" s="182">
        <v>46023</v>
      </c>
      <c r="C1" s="218" t="s">
        <v>88</v>
      </c>
      <c r="D1" s="218" t="s">
        <v>706</v>
      </c>
      <c r="E1" s="218" t="s">
        <v>89</v>
      </c>
      <c r="F1" s="183" t="s">
        <v>707</v>
      </c>
      <c r="G1" s="89"/>
      <c r="H1" s="89"/>
      <c r="I1" s="89"/>
      <c r="J1" s="89"/>
      <c r="K1" s="89"/>
      <c r="L1" s="89"/>
      <c r="M1" s="89"/>
      <c r="N1" s="89"/>
      <c r="O1" s="89"/>
      <c r="P1" s="89"/>
      <c r="Q1" s="89"/>
      <c r="R1" s="89"/>
      <c r="S1" s="89"/>
      <c r="T1" s="89"/>
      <c r="U1" s="89"/>
      <c r="V1" s="89"/>
    </row>
    <row r="2" spans="1:35" ht="19.350000000000001" customHeight="1">
      <c r="A2" s="184"/>
      <c r="B2" s="184"/>
      <c r="C2" s="225"/>
      <c r="D2" s="219"/>
      <c r="E2" s="219"/>
      <c r="F2" s="89"/>
      <c r="G2" s="89"/>
      <c r="H2" s="89"/>
      <c r="I2" s="89"/>
      <c r="J2" s="89"/>
      <c r="K2" s="89"/>
      <c r="L2" s="89"/>
      <c r="M2" s="89"/>
      <c r="N2" s="89"/>
      <c r="O2" s="89"/>
      <c r="P2" s="89"/>
      <c r="Q2" s="89"/>
      <c r="R2" s="89"/>
      <c r="S2" s="89"/>
      <c r="T2" s="89"/>
      <c r="U2" s="89"/>
      <c r="V2" s="89"/>
    </row>
    <row r="3" spans="1:35" ht="20.100000000000001" customHeight="1">
      <c r="A3" s="610" t="s">
        <v>708</v>
      </c>
      <c r="B3" s="610"/>
      <c r="C3" s="225"/>
      <c r="D3" s="225"/>
      <c r="E3" s="225"/>
      <c r="F3" s="89"/>
      <c r="G3" s="89"/>
      <c r="H3" s="89"/>
      <c r="I3" s="89"/>
      <c r="J3" s="89"/>
      <c r="K3" s="89"/>
      <c r="L3" s="89"/>
      <c r="M3" s="89"/>
      <c r="N3" s="89"/>
      <c r="O3" s="89"/>
      <c r="P3" s="89"/>
      <c r="Q3" s="89"/>
      <c r="R3" s="89"/>
      <c r="S3" s="89"/>
      <c r="T3" s="89"/>
      <c r="U3" s="89"/>
      <c r="V3" s="89"/>
    </row>
    <row r="4" spans="1:35" ht="18.600000000000001" customHeight="1">
      <c r="A4" s="186" t="s">
        <v>93</v>
      </c>
      <c r="B4" s="186"/>
      <c r="C4" s="225"/>
      <c r="D4" s="225"/>
      <c r="E4" s="225"/>
      <c r="F4" s="89"/>
      <c r="G4" s="89"/>
      <c r="H4" s="89"/>
      <c r="I4" s="89"/>
      <c r="J4" s="89"/>
      <c r="K4" s="89"/>
      <c r="L4" s="89"/>
      <c r="M4" s="89"/>
      <c r="N4" s="89"/>
      <c r="O4" s="89"/>
      <c r="P4" s="89"/>
      <c r="Q4" s="89"/>
      <c r="R4" s="89"/>
      <c r="S4" s="89"/>
      <c r="T4" s="89"/>
      <c r="U4" s="89"/>
      <c r="V4" s="89"/>
      <c r="W4" t="s">
        <v>90</v>
      </c>
      <c r="X4">
        <f>IF(IF($F14="Higher the better",IF(I15&gt;=I14,I15,NA()),IF(I15&lt;=I14,I15,NA()))&lt;&gt;"",IF($F14="Higher the better",IF(I15&gt;=I14,I15,NA()),IF(I15&lt;=I14,I15,NA())),NA())</f>
        <v>7.6</v>
      </c>
      <c r="Y4">
        <f t="shared" ref="Y4:AI4" si="0">IF(IF($F14="Higher the better",IF(J15&gt;=J14,J15,NA()),IF(J15&lt;=J14,J15,NA()))&lt;&gt;"",IF($F14="Higher the better",IF(J15&gt;=J14,J15,NA()),IF(J15&lt;=J14,J15,NA())),NA())</f>
        <v>8.9</v>
      </c>
      <c r="Z4">
        <f t="shared" si="0"/>
        <v>18.8</v>
      </c>
      <c r="AA4" t="e">
        <f t="shared" si="0"/>
        <v>#N/A</v>
      </c>
      <c r="AB4" t="e">
        <f t="shared" si="0"/>
        <v>#N/A</v>
      </c>
      <c r="AC4" t="e">
        <f t="shared" si="0"/>
        <v>#N/A</v>
      </c>
      <c r="AD4" t="e">
        <f t="shared" si="0"/>
        <v>#N/A</v>
      </c>
      <c r="AE4" t="e">
        <f t="shared" si="0"/>
        <v>#N/A</v>
      </c>
      <c r="AF4" t="e">
        <f t="shared" si="0"/>
        <v>#N/A</v>
      </c>
      <c r="AG4" t="e">
        <f t="shared" si="0"/>
        <v>#N/A</v>
      </c>
      <c r="AH4" t="e">
        <f t="shared" si="0"/>
        <v>#N/A</v>
      </c>
      <c r="AI4" t="e">
        <f t="shared" si="0"/>
        <v>#N/A</v>
      </c>
    </row>
    <row r="5" spans="1:35" ht="29.1" customHeight="1">
      <c r="A5" s="187" t="s">
        <v>202</v>
      </c>
      <c r="B5" s="188" t="s">
        <v>59</v>
      </c>
      <c r="C5" s="220" t="s">
        <v>5</v>
      </c>
      <c r="D5" s="220" t="s">
        <v>60</v>
      </c>
      <c r="E5" s="220" t="s">
        <v>7</v>
      </c>
      <c r="F5" s="188" t="s">
        <v>61</v>
      </c>
      <c r="G5" s="188" t="s">
        <v>9</v>
      </c>
      <c r="H5" s="188" t="s">
        <v>62</v>
      </c>
      <c r="I5" s="208">
        <v>46023</v>
      </c>
      <c r="J5" s="208">
        <v>46054</v>
      </c>
      <c r="K5" s="208">
        <v>46082</v>
      </c>
      <c r="L5" s="208">
        <v>46113</v>
      </c>
      <c r="M5" s="208">
        <v>46143</v>
      </c>
      <c r="N5" s="208">
        <v>46174</v>
      </c>
      <c r="O5" s="208">
        <v>46204</v>
      </c>
      <c r="P5" s="208">
        <v>46235</v>
      </c>
      <c r="Q5" s="208">
        <v>46266</v>
      </c>
      <c r="R5" s="208">
        <v>46296</v>
      </c>
      <c r="S5" s="208">
        <v>46327</v>
      </c>
      <c r="T5" s="208">
        <v>46357</v>
      </c>
      <c r="U5" s="89"/>
      <c r="V5" s="89"/>
      <c r="W5" t="s">
        <v>91</v>
      </c>
      <c r="X5" t="e">
        <f>IF(IF($F14="Higher the better",IF(I15&lt;I14,I15,NA()),IF(I15&gt;I14,I15,NA()))&lt;&gt;"",IF($F14="Higher the better",IF(I15&lt;I14,I15,NA()),IF(I15&gt;I14,I15,NA())),NA())</f>
        <v>#N/A</v>
      </c>
      <c r="Y5" t="e">
        <f t="shared" ref="Y5:AI5" si="1">IF(IF($F14="Higher the better",IF(J15&lt;J14,J15,NA()),IF(J15&gt;J14,J15,NA()))&lt;&gt;"",IF($F14="Higher the better",IF(J15&lt;J14,J15,NA()),IF(J15&gt;J14,J15,NA())),NA())</f>
        <v>#N/A</v>
      </c>
      <c r="Z5" t="e">
        <f t="shared" si="1"/>
        <v>#N/A</v>
      </c>
      <c r="AA5">
        <f t="shared" si="1"/>
        <v>7.5</v>
      </c>
      <c r="AB5" t="e">
        <f t="shared" si="1"/>
        <v>#N/A</v>
      </c>
      <c r="AC5" t="e">
        <f t="shared" si="1"/>
        <v>#N/A</v>
      </c>
      <c r="AD5" t="e">
        <f t="shared" si="1"/>
        <v>#N/A</v>
      </c>
      <c r="AE5" t="e">
        <f t="shared" si="1"/>
        <v>#N/A</v>
      </c>
      <c r="AF5" t="e">
        <f t="shared" si="1"/>
        <v>#N/A</v>
      </c>
      <c r="AG5" t="e">
        <f t="shared" si="1"/>
        <v>#N/A</v>
      </c>
      <c r="AH5" t="e">
        <f t="shared" si="1"/>
        <v>#N/A</v>
      </c>
      <c r="AI5" t="e">
        <f t="shared" si="1"/>
        <v>#N/A</v>
      </c>
    </row>
    <row r="6" spans="1:35">
      <c r="A6" s="575" t="s">
        <v>709</v>
      </c>
      <c r="B6" s="611" t="s">
        <v>710</v>
      </c>
      <c r="C6" s="577" t="s">
        <v>97</v>
      </c>
      <c r="D6" s="572" t="s">
        <v>711</v>
      </c>
      <c r="E6" s="577" t="s">
        <v>98</v>
      </c>
      <c r="F6" s="568" t="s">
        <v>99</v>
      </c>
      <c r="G6" s="611" t="s">
        <v>593</v>
      </c>
      <c r="H6" s="235" t="s">
        <v>29</v>
      </c>
      <c r="I6" s="236" t="s">
        <v>707</v>
      </c>
      <c r="J6" s="236" t="s">
        <v>707</v>
      </c>
      <c r="K6" s="236" t="s">
        <v>707</v>
      </c>
      <c r="L6" s="236" t="s">
        <v>707</v>
      </c>
      <c r="M6" s="236" t="s">
        <v>707</v>
      </c>
      <c r="N6" s="236" t="s">
        <v>707</v>
      </c>
      <c r="O6" s="236" t="s">
        <v>707</v>
      </c>
      <c r="P6" s="236" t="s">
        <v>707</v>
      </c>
      <c r="Q6" s="236" t="s">
        <v>707</v>
      </c>
      <c r="R6" s="236" t="s">
        <v>707</v>
      </c>
      <c r="S6" s="236" t="s">
        <v>707</v>
      </c>
      <c r="T6" s="236" t="s">
        <v>707</v>
      </c>
      <c r="U6" s="89"/>
      <c r="V6" s="89"/>
      <c r="W6" t="s">
        <v>90</v>
      </c>
      <c r="X6" t="e">
        <f t="shared" ref="X6" si="2">IF(IF($F16="Higher the better",IF(I17&gt;=I16,I17,NA()),IF(I17&lt;=I16,I17,NA()))&lt;&gt;"",IF($F16="Higher the better",IF(I17&gt;=I16,I17,NA()),IF(I17&lt;=I16,I17,NA())),NA())</f>
        <v>#N/A</v>
      </c>
      <c r="Y6" t="e">
        <f t="shared" ref="Y6" si="3">IF(IF($F16="Higher the better",IF(J17&gt;=J16,J17,NA()),IF(J17&lt;=J16,J17,NA()))&lt;&gt;"",IF($F16="Higher the better",IF(J17&gt;=J16,J17,NA()),IF(J17&lt;=J16,J17,NA())),NA())</f>
        <v>#N/A</v>
      </c>
      <c r="Z6" t="e">
        <f t="shared" ref="Z6" si="4">IF(IF($F16="Higher the better",IF(K17&gt;=K16,K17,NA()),IF(K17&lt;=K16,K17,NA()))&lt;&gt;"",IF($F16="Higher the better",IF(K17&gt;=K16,K17,NA()),IF(K17&lt;=K16,K17,NA())),NA())</f>
        <v>#N/A</v>
      </c>
      <c r="AA6" t="e">
        <f t="shared" ref="AA6" si="5">IF(IF($F16="Higher the better",IF(L17&gt;=L16,L17,NA()),IF(L17&lt;=L16,L17,NA()))&lt;&gt;"",IF($F16="Higher the better",IF(L17&gt;=L16,L17,NA()),IF(L17&lt;=L16,L17,NA())),NA())</f>
        <v>#N/A</v>
      </c>
      <c r="AB6" t="e">
        <f t="shared" ref="AB6" si="6">IF(IF($F16="Higher the better",IF(M17&gt;=M16,M17,NA()),IF(M17&lt;=M16,M17,NA()))&lt;&gt;"",IF($F16="Higher the better",IF(M17&gt;=M16,M17,NA()),IF(M17&lt;=M16,M17,NA())),NA())</f>
        <v>#N/A</v>
      </c>
      <c r="AC6" t="e">
        <f t="shared" ref="AC6" si="7">IF(IF($F16="Higher the better",IF(N17&gt;=N16,N17,NA()),IF(N17&lt;=N16,N17,NA()))&lt;&gt;"",IF($F16="Higher the better",IF(N17&gt;=N16,N17,NA()),IF(N17&lt;=N16,N17,NA())),NA())</f>
        <v>#N/A</v>
      </c>
      <c r="AD6" t="e">
        <f t="shared" ref="AD6" si="8">IF(IF($F16="Higher the better",IF(O17&gt;=O16,O17,NA()),IF(O17&lt;=O16,O17,NA()))&lt;&gt;"",IF($F16="Higher the better",IF(O17&gt;=O16,O17,NA()),IF(O17&lt;=O16,O17,NA())),NA())</f>
        <v>#N/A</v>
      </c>
      <c r="AE6" t="e">
        <f t="shared" ref="AE6" si="9">IF(IF($F16="Higher the better",IF(P17&gt;=P16,P17,NA()),IF(P17&lt;=P16,P17,NA()))&lt;&gt;"",IF($F16="Higher the better",IF(P17&gt;=P16,P17,NA()),IF(P17&lt;=P16,P17,NA())),NA())</f>
        <v>#N/A</v>
      </c>
      <c r="AF6" t="e">
        <f t="shared" ref="AF6" si="10">IF(IF($F16="Higher the better",IF(Q17&gt;=Q16,Q17,NA()),IF(Q17&lt;=Q16,Q17,NA()))&lt;&gt;"",IF($F16="Higher the better",IF(Q17&gt;=Q16,Q17,NA()),IF(Q17&lt;=Q16,Q17,NA())),NA())</f>
        <v>#N/A</v>
      </c>
      <c r="AG6" t="e">
        <f t="shared" ref="AG6" si="11">IF(IF($F16="Higher the better",IF(R17&gt;=R16,R17,NA()),IF(R17&lt;=R16,R17,NA()))&lt;&gt;"",IF($F16="Higher the better",IF(R17&gt;=R16,R17,NA()),IF(R17&lt;=R16,R17,NA())),NA())</f>
        <v>#N/A</v>
      </c>
      <c r="AH6" t="e">
        <f t="shared" ref="AH6" si="12">IF(IF($F16="Higher the better",IF(S17&gt;=S16,S17,NA()),IF(S17&lt;=S16,S17,NA()))&lt;&gt;"",IF($F16="Higher the better",IF(S17&gt;=S16,S17,NA()),IF(S17&lt;=S16,S17,NA())),NA())</f>
        <v>#N/A</v>
      </c>
      <c r="AI6" t="e">
        <f t="shared" ref="AI6" si="13">IF(IF($F16="Higher the better",IF(T17&gt;=T16,T17,NA()),IF(T17&lt;=T16,T17,NA()))&lt;&gt;"",IF($F16="Higher the better",IF(T17&gt;=T16,T17,NA()),IF(T17&lt;=T16,T17,NA())),NA())</f>
        <v>#N/A</v>
      </c>
    </row>
    <row r="7" spans="1:35">
      <c r="A7" s="576"/>
      <c r="B7" s="612"/>
      <c r="C7" s="450"/>
      <c r="D7" s="571"/>
      <c r="E7" s="450"/>
      <c r="F7" s="569"/>
      <c r="G7" s="612"/>
      <c r="H7" s="235" t="s">
        <v>30</v>
      </c>
      <c r="I7" s="45"/>
      <c r="J7" s="45"/>
      <c r="K7" s="45"/>
      <c r="L7" s="45"/>
      <c r="M7" s="45"/>
      <c r="N7" s="45"/>
      <c r="O7" s="45"/>
      <c r="P7" s="45"/>
      <c r="Q7" s="45"/>
      <c r="R7" s="45"/>
      <c r="S7" s="45"/>
      <c r="T7" s="45"/>
      <c r="U7" s="89"/>
      <c r="V7" s="89"/>
      <c r="W7" t="s">
        <v>91</v>
      </c>
      <c r="X7" t="e">
        <f t="shared" ref="X7" si="14">IF(IF($F16="Higher the better",IF(I17&lt;I16,I17,NA()),IF(I17&gt;I16,I17,NA()))&lt;&gt;"",IF($F16="Higher the better",IF(I17&lt;I16,I17,NA()),IF(I17&gt;I16,I17,NA())),NA())</f>
        <v>#N/A</v>
      </c>
      <c r="Y7" t="e">
        <f t="shared" ref="Y7" si="15">IF(IF($F16="Higher the better",IF(J17&lt;J16,J17,NA()),IF(J17&gt;J16,J17,NA()))&lt;&gt;"",IF($F16="Higher the better",IF(J17&lt;J16,J17,NA()),IF(J17&gt;J16,J17,NA())),NA())</f>
        <v>#N/A</v>
      </c>
      <c r="Z7" t="e">
        <f t="shared" ref="Z7" si="16">IF(IF($F16="Higher the better",IF(K17&lt;K16,K17,NA()),IF(K17&gt;K16,K17,NA()))&lt;&gt;"",IF($F16="Higher the better",IF(K17&lt;K16,K17,NA()),IF(K17&gt;K16,K17,NA())),NA())</f>
        <v>#N/A</v>
      </c>
      <c r="AA7" t="e">
        <f t="shared" ref="AA7" si="17">IF(IF($F16="Higher the better",IF(L17&lt;L16,L17,NA()),IF(L17&gt;L16,L17,NA()))&lt;&gt;"",IF($F16="Higher the better",IF(L17&lt;L16,L17,NA()),IF(L17&gt;L16,L17,NA())),NA())</f>
        <v>#N/A</v>
      </c>
      <c r="AB7" t="e">
        <f t="shared" ref="AB7" si="18">IF(IF($F16="Higher the better",IF(M17&lt;M16,M17,NA()),IF(M17&gt;M16,M17,NA()))&lt;&gt;"",IF($F16="Higher the better",IF(M17&lt;M16,M17,NA()),IF(M17&gt;M16,M17,NA())),NA())</f>
        <v>#N/A</v>
      </c>
      <c r="AC7" t="e">
        <f t="shared" ref="AC7" si="19">IF(IF($F16="Higher the better",IF(N17&lt;N16,N17,NA()),IF(N17&gt;N16,N17,NA()))&lt;&gt;"",IF($F16="Higher the better",IF(N17&lt;N16,N17,NA()),IF(N17&gt;N16,N17,NA())),NA())</f>
        <v>#N/A</v>
      </c>
      <c r="AD7" t="e">
        <f t="shared" ref="AD7" si="20">IF(IF($F16="Higher the better",IF(O17&lt;O16,O17,NA()),IF(O17&gt;O16,O17,NA()))&lt;&gt;"",IF($F16="Higher the better",IF(O17&lt;O16,O17,NA()),IF(O17&gt;O16,O17,NA())),NA())</f>
        <v>#N/A</v>
      </c>
      <c r="AE7" t="e">
        <f t="shared" ref="AE7" si="21">IF(IF($F16="Higher the better",IF(P17&lt;P16,P17,NA()),IF(P17&gt;P16,P17,NA()))&lt;&gt;"",IF($F16="Higher the better",IF(P17&lt;P16,P17,NA()),IF(P17&gt;P16,P17,NA())),NA())</f>
        <v>#N/A</v>
      </c>
      <c r="AF7" t="e">
        <f t="shared" ref="AF7" si="22">IF(IF($F16="Higher the better",IF(Q17&lt;Q16,Q17,NA()),IF(Q17&gt;Q16,Q17,NA()))&lt;&gt;"",IF($F16="Higher the better",IF(Q17&lt;Q16,Q17,NA()),IF(Q17&gt;Q16,Q17,NA())),NA())</f>
        <v>#N/A</v>
      </c>
      <c r="AG7" t="e">
        <f t="shared" ref="AG7" si="23">IF(IF($F16="Higher the better",IF(R17&lt;R16,R17,NA()),IF(R17&gt;R16,R17,NA()))&lt;&gt;"",IF($F16="Higher the better",IF(R17&lt;R16,R17,NA()),IF(R17&gt;R16,R17,NA())),NA())</f>
        <v>#N/A</v>
      </c>
      <c r="AH7" t="e">
        <f t="shared" ref="AH7" si="24">IF(IF($F16="Higher the better",IF(S17&lt;S16,S17,NA()),IF(S17&gt;S16,S17,NA()))&lt;&gt;"",IF($F16="Higher the better",IF(S17&lt;S16,S17,NA()),IF(S17&gt;S16,S17,NA())),NA())</f>
        <v>#N/A</v>
      </c>
      <c r="AI7" t="e">
        <f t="shared" ref="AI7" si="25">IF(IF($F16="Higher the better",IF(T17&lt;T16,T17,NA()),IF(T17&gt;T16,T17,NA()))&lt;&gt;"",IF($F16="Higher the better",IF(T17&lt;T16,T17,NA()),IF(T17&gt;T16,T17,NA())),NA())</f>
        <v>#N/A</v>
      </c>
    </row>
    <row r="8" spans="1:35">
      <c r="A8" s="575" t="s">
        <v>712</v>
      </c>
      <c r="B8" s="575" t="s">
        <v>713</v>
      </c>
      <c r="C8" s="577" t="s">
        <v>97</v>
      </c>
      <c r="D8" s="577">
        <v>145</v>
      </c>
      <c r="E8" s="577" t="s">
        <v>247</v>
      </c>
      <c r="F8" s="568" t="s">
        <v>99</v>
      </c>
      <c r="G8" s="611" t="s">
        <v>55</v>
      </c>
      <c r="H8" s="235" t="s">
        <v>29</v>
      </c>
      <c r="I8" s="237">
        <v>6.9</v>
      </c>
      <c r="J8" s="237">
        <v>8.5</v>
      </c>
      <c r="K8" s="237">
        <v>12.6</v>
      </c>
      <c r="L8" s="237" t="s">
        <v>714</v>
      </c>
      <c r="M8" s="237" t="s">
        <v>715</v>
      </c>
      <c r="N8" s="237" t="s">
        <v>716</v>
      </c>
      <c r="O8" s="237" t="s">
        <v>717</v>
      </c>
      <c r="P8" s="237" t="s">
        <v>718</v>
      </c>
      <c r="Q8" s="237" t="s">
        <v>719</v>
      </c>
      <c r="R8" s="237" t="s">
        <v>720</v>
      </c>
      <c r="S8" s="237" t="s">
        <v>721</v>
      </c>
      <c r="T8" s="237" t="s">
        <v>722</v>
      </c>
      <c r="U8" s="89"/>
      <c r="V8" s="89"/>
      <c r="W8" t="s">
        <v>90</v>
      </c>
      <c r="X8" t="e">
        <f t="shared" ref="X8" si="26">IF(IF($F18="Higher the better",IF(I19&gt;=I18,I19,NA()),IF(I19&lt;=I18,I19,NA()))&lt;&gt;"",IF($F18="Higher the better",IF(I19&gt;=I18,I19,NA()),IF(I19&lt;=I18,I19,NA())),NA())</f>
        <v>#N/A</v>
      </c>
      <c r="Y8" t="e">
        <f t="shared" ref="Y8" si="27">IF(IF($F18="Higher the better",IF(J19&gt;=J18,J19,NA()),IF(J19&lt;=J18,J19,NA()))&lt;&gt;"",IF($F18="Higher the better",IF(J19&gt;=J18,J19,NA()),IF(J19&lt;=J18,J19,NA())),NA())</f>
        <v>#N/A</v>
      </c>
      <c r="Z8" t="e">
        <f t="shared" ref="Z8" si="28">IF(IF($F18="Higher the better",IF(K19&gt;=K18,K19,NA()),IF(K19&lt;=K18,K19,NA()))&lt;&gt;"",IF($F18="Higher the better",IF(K19&gt;=K18,K19,NA()),IF(K19&lt;=K18,K19,NA())),NA())</f>
        <v>#N/A</v>
      </c>
      <c r="AA8" t="e">
        <f t="shared" ref="AA8" si="29">IF(IF($F18="Higher the better",IF(L19&gt;=L18,L19,NA()),IF(L19&lt;=L18,L19,NA()))&lt;&gt;"",IF($F18="Higher the better",IF(L19&gt;=L18,L19,NA()),IF(L19&lt;=L18,L19,NA())),NA())</f>
        <v>#N/A</v>
      </c>
      <c r="AB8" t="e">
        <f t="shared" ref="AB8" si="30">IF(IF($F18="Higher the better",IF(M19&gt;=M18,M19,NA()),IF(M19&lt;=M18,M19,NA()))&lt;&gt;"",IF($F18="Higher the better",IF(M19&gt;=M18,M19,NA()),IF(M19&lt;=M18,M19,NA())),NA())</f>
        <v>#N/A</v>
      </c>
      <c r="AC8" t="e">
        <f t="shared" ref="AC8" si="31">IF(IF($F18="Higher the better",IF(N19&gt;=N18,N19,NA()),IF(N19&lt;=N18,N19,NA()))&lt;&gt;"",IF($F18="Higher the better",IF(N19&gt;=N18,N19,NA()),IF(N19&lt;=N18,N19,NA())),NA())</f>
        <v>#N/A</v>
      </c>
      <c r="AD8" t="e">
        <f t="shared" ref="AD8" si="32">IF(IF($F18="Higher the better",IF(O19&gt;=O18,O19,NA()),IF(O19&lt;=O18,O19,NA()))&lt;&gt;"",IF($F18="Higher the better",IF(O19&gt;=O18,O19,NA()),IF(O19&lt;=O18,O19,NA())),NA())</f>
        <v>#N/A</v>
      </c>
      <c r="AE8" t="e">
        <f t="shared" ref="AE8" si="33">IF(IF($F18="Higher the better",IF(P19&gt;=P18,P19,NA()),IF(P19&lt;=P18,P19,NA()))&lt;&gt;"",IF($F18="Higher the better",IF(P19&gt;=P18,P19,NA()),IF(P19&lt;=P18,P19,NA())),NA())</f>
        <v>#N/A</v>
      </c>
      <c r="AF8" t="e">
        <f t="shared" ref="AF8" si="34">IF(IF($F18="Higher the better",IF(Q19&gt;=Q18,Q19,NA()),IF(Q19&lt;=Q18,Q19,NA()))&lt;&gt;"",IF($F18="Higher the better",IF(Q19&gt;=Q18,Q19,NA()),IF(Q19&lt;=Q18,Q19,NA())),NA())</f>
        <v>#N/A</v>
      </c>
      <c r="AG8" t="e">
        <f t="shared" ref="AG8" si="35">IF(IF($F18="Higher the better",IF(R19&gt;=R18,R19,NA()),IF(R19&lt;=R18,R19,NA()))&lt;&gt;"",IF($F18="Higher the better",IF(R19&gt;=R18,R19,NA()),IF(R19&lt;=R18,R19,NA())),NA())</f>
        <v>#N/A</v>
      </c>
      <c r="AH8" t="e">
        <f t="shared" ref="AH8" si="36">IF(IF($F18="Higher the better",IF(S19&gt;=S18,S19,NA()),IF(S19&lt;=S18,S19,NA()))&lt;&gt;"",IF($F18="Higher the better",IF(S19&gt;=S18,S19,NA()),IF(S19&lt;=S18,S19,NA())),NA())</f>
        <v>#N/A</v>
      </c>
      <c r="AI8" t="e">
        <f t="shared" ref="AI8" si="37">IF(IF($F18="Higher the better",IF(T19&gt;=T18,T19,NA()),IF(T19&lt;=T18,T19,NA()))&lt;&gt;"",IF($F18="Higher the better",IF(T19&gt;=T18,T19,NA()),IF(T19&lt;=T18,T19,NA())),NA())</f>
        <v>#N/A</v>
      </c>
    </row>
    <row r="9" spans="1:35">
      <c r="A9" s="576"/>
      <c r="B9" s="576"/>
      <c r="C9" s="450"/>
      <c r="D9" s="450"/>
      <c r="E9" s="450"/>
      <c r="F9" s="569"/>
      <c r="G9" s="612"/>
      <c r="H9" s="235" t="s">
        <v>30</v>
      </c>
      <c r="I9" s="45">
        <v>5.2</v>
      </c>
      <c r="J9" s="45">
        <v>8.4</v>
      </c>
      <c r="K9" s="45">
        <v>17.2</v>
      </c>
      <c r="L9" s="45"/>
      <c r="M9" s="45"/>
      <c r="N9" s="45"/>
      <c r="O9" s="45"/>
      <c r="P9" s="45"/>
      <c r="Q9" s="45"/>
      <c r="R9" s="45"/>
      <c r="S9" s="45"/>
      <c r="T9" s="45"/>
      <c r="U9" s="89"/>
      <c r="V9" s="89"/>
      <c r="W9" t="s">
        <v>91</v>
      </c>
      <c r="X9" t="e">
        <f t="shared" ref="X9" si="38">IF(IF($F18="Higher the better",IF(I19&lt;I18,I19,NA()),IF(I19&gt;I18,I19,NA()))&lt;&gt;"",IF($F18="Higher the better",IF(I19&lt;I18,I19,NA()),IF(I19&gt;I18,I19,NA())),NA())</f>
        <v>#N/A</v>
      </c>
      <c r="Y9" t="e">
        <f t="shared" ref="Y9" si="39">IF(IF($F18="Higher the better",IF(J19&lt;J18,J19,NA()),IF(J19&gt;J18,J19,NA()))&lt;&gt;"",IF($F18="Higher the better",IF(J19&lt;J18,J19,NA()),IF(J19&gt;J18,J19,NA())),NA())</f>
        <v>#N/A</v>
      </c>
      <c r="Z9" t="e">
        <f t="shared" ref="Z9" si="40">IF(IF($F18="Higher the better",IF(K19&lt;K18,K19,NA()),IF(K19&gt;K18,K19,NA()))&lt;&gt;"",IF($F18="Higher the better",IF(K19&lt;K18,K19,NA()),IF(K19&gt;K18,K19,NA())),NA())</f>
        <v>#N/A</v>
      </c>
      <c r="AA9" t="e">
        <f t="shared" ref="AA9" si="41">IF(IF($F18="Higher the better",IF(L19&lt;L18,L19,NA()),IF(L19&gt;L18,L19,NA()))&lt;&gt;"",IF($F18="Higher the better",IF(L19&lt;L18,L19,NA()),IF(L19&gt;L18,L19,NA())),NA())</f>
        <v>#N/A</v>
      </c>
      <c r="AB9" t="e">
        <f t="shared" ref="AB9" si="42">IF(IF($F18="Higher the better",IF(M19&lt;M18,M19,NA()),IF(M19&gt;M18,M19,NA()))&lt;&gt;"",IF($F18="Higher the better",IF(M19&lt;M18,M19,NA()),IF(M19&gt;M18,M19,NA())),NA())</f>
        <v>#N/A</v>
      </c>
      <c r="AC9" t="e">
        <f t="shared" ref="AC9" si="43">IF(IF($F18="Higher the better",IF(N19&lt;N18,N19,NA()),IF(N19&gt;N18,N19,NA()))&lt;&gt;"",IF($F18="Higher the better",IF(N19&lt;N18,N19,NA()),IF(N19&gt;N18,N19,NA())),NA())</f>
        <v>#N/A</v>
      </c>
      <c r="AD9" t="e">
        <f t="shared" ref="AD9" si="44">IF(IF($F18="Higher the better",IF(O19&lt;O18,O19,NA()),IF(O19&gt;O18,O19,NA()))&lt;&gt;"",IF($F18="Higher the better",IF(O19&lt;O18,O19,NA()),IF(O19&gt;O18,O19,NA())),NA())</f>
        <v>#N/A</v>
      </c>
      <c r="AE9" t="e">
        <f t="shared" ref="AE9" si="45">IF(IF($F18="Higher the better",IF(P19&lt;P18,P19,NA()),IF(P19&gt;P18,P19,NA()))&lt;&gt;"",IF($F18="Higher the better",IF(P19&lt;P18,P19,NA()),IF(P19&gt;P18,P19,NA())),NA())</f>
        <v>#N/A</v>
      </c>
      <c r="AF9" t="e">
        <f t="shared" ref="AF9" si="46">IF(IF($F18="Higher the better",IF(Q19&lt;Q18,Q19,NA()),IF(Q19&gt;Q18,Q19,NA()))&lt;&gt;"",IF($F18="Higher the better",IF(Q19&lt;Q18,Q19,NA()),IF(Q19&gt;Q18,Q19,NA())),NA())</f>
        <v>#N/A</v>
      </c>
      <c r="AG9" t="e">
        <f t="shared" ref="AG9" si="47">IF(IF($F18="Higher the better",IF(R19&lt;R18,R19,NA()),IF(R19&gt;R18,R19,NA()))&lt;&gt;"",IF($F18="Higher the better",IF(R19&lt;R18,R19,NA()),IF(R19&gt;R18,R19,NA())),NA())</f>
        <v>#N/A</v>
      </c>
      <c r="AH9" t="e">
        <f t="shared" ref="AH9" si="48">IF(IF($F18="Higher the better",IF(S19&lt;S18,S19,NA()),IF(S19&gt;S18,S19,NA()))&lt;&gt;"",IF($F18="Higher the better",IF(S19&lt;S18,S19,NA()),IF(S19&gt;S18,S19,NA())),NA())</f>
        <v>#N/A</v>
      </c>
      <c r="AI9" t="e">
        <f t="shared" ref="AI9" si="49">IF(IF($F18="Higher the better",IF(T19&lt;T18,T19,NA()),IF(T19&gt;T18,T19,NA()))&lt;&gt;"",IF($F18="Higher the better",IF(T19&lt;T18,T19,NA()),IF(T19&gt;T18,T19,NA())),NA())</f>
        <v>#N/A</v>
      </c>
    </row>
    <row r="10" spans="1:35">
      <c r="A10" s="575" t="s">
        <v>723</v>
      </c>
      <c r="B10" s="575" t="s">
        <v>724</v>
      </c>
      <c r="C10" s="577" t="s">
        <v>97</v>
      </c>
      <c r="D10" s="581">
        <v>0.34</v>
      </c>
      <c r="E10" s="577" t="s">
        <v>98</v>
      </c>
      <c r="F10" s="568" t="s">
        <v>99</v>
      </c>
      <c r="G10" s="611" t="s">
        <v>55</v>
      </c>
      <c r="H10" s="235" t="s">
        <v>29</v>
      </c>
      <c r="I10" s="91">
        <v>0.34</v>
      </c>
      <c r="J10" s="91">
        <v>0.34</v>
      </c>
      <c r="K10" s="91">
        <v>0.34</v>
      </c>
      <c r="L10" s="91">
        <v>0.34</v>
      </c>
      <c r="M10" s="91">
        <v>0.34</v>
      </c>
      <c r="N10" s="91">
        <v>0.34</v>
      </c>
      <c r="O10" s="91">
        <v>0.34</v>
      </c>
      <c r="P10" s="91">
        <v>0.34</v>
      </c>
      <c r="Q10" s="91">
        <v>0.34</v>
      </c>
      <c r="R10" s="91">
        <v>0.34</v>
      </c>
      <c r="S10" s="91">
        <v>0.34</v>
      </c>
      <c r="T10" s="91">
        <v>0.34</v>
      </c>
      <c r="U10" s="89"/>
      <c r="V10" s="89"/>
      <c r="W10" t="s">
        <v>90</v>
      </c>
      <c r="X10">
        <f t="shared" ref="X10" si="50">IF(IF($F20="Higher the better",IF(I21&gt;=I20,I21,NA()),IF(I21&lt;=I20,I21,NA()))&lt;&gt;"",IF($F20="Higher the better",IF(I21&gt;=I20,I21,NA()),IF(I21&lt;=I20,I21,NA())),NA())</f>
        <v>0.6</v>
      </c>
      <c r="Y10" t="e">
        <f t="shared" ref="Y10" si="51">IF(IF($F20="Higher the better",IF(J21&gt;=J20,J21,NA()),IF(J21&lt;=J20,J21,NA()))&lt;&gt;"",IF($F20="Higher the better",IF(J21&gt;=J20,J21,NA()),IF(J21&lt;=J20,J21,NA())),NA())</f>
        <v>#N/A</v>
      </c>
      <c r="Z10" t="e">
        <f t="shared" ref="Z10" si="52">IF(IF($F20="Higher the better",IF(K21&gt;=K20,K21,NA()),IF(K21&lt;=K20,K21,NA()))&lt;&gt;"",IF($F20="Higher the better",IF(K21&gt;=K20,K21,NA()),IF(K21&lt;=K20,K21,NA())),NA())</f>
        <v>#N/A</v>
      </c>
      <c r="AA10" t="e">
        <f t="shared" ref="AA10" si="53">IF(IF($F20="Higher the better",IF(L21&gt;=L20,L21,NA()),IF(L21&lt;=L20,L21,NA()))&lt;&gt;"",IF($F20="Higher the better",IF(L21&gt;=L20,L21,NA()),IF(L21&lt;=L20,L21,NA())),NA())</f>
        <v>#N/A</v>
      </c>
      <c r="AB10" t="e">
        <f t="shared" ref="AB10" si="54">IF(IF($F20="Higher the better",IF(M21&gt;=M20,M21,NA()),IF(M21&lt;=M20,M21,NA()))&lt;&gt;"",IF($F20="Higher the better",IF(M21&gt;=M20,M21,NA()),IF(M21&lt;=M20,M21,NA())),NA())</f>
        <v>#N/A</v>
      </c>
      <c r="AC10" t="e">
        <f t="shared" ref="AC10" si="55">IF(IF($F20="Higher the better",IF(N21&gt;=N20,N21,NA()),IF(N21&lt;=N20,N21,NA()))&lt;&gt;"",IF($F20="Higher the better",IF(N21&gt;=N20,N21,NA()),IF(N21&lt;=N20,N21,NA())),NA())</f>
        <v>#N/A</v>
      </c>
      <c r="AD10" t="e">
        <f t="shared" ref="AD10" si="56">IF(IF($F20="Higher the better",IF(O21&gt;=O20,O21,NA()),IF(O21&lt;=O20,O21,NA()))&lt;&gt;"",IF($F20="Higher the better",IF(O21&gt;=O20,O21,NA()),IF(O21&lt;=O20,O21,NA())),NA())</f>
        <v>#N/A</v>
      </c>
      <c r="AE10" t="e">
        <f t="shared" ref="AE10" si="57">IF(IF($F20="Higher the better",IF(P21&gt;=P20,P21,NA()),IF(P21&lt;=P20,P21,NA()))&lt;&gt;"",IF($F20="Higher the better",IF(P21&gt;=P20,P21,NA()),IF(P21&lt;=P20,P21,NA())),NA())</f>
        <v>#N/A</v>
      </c>
      <c r="AF10" t="e">
        <f t="shared" ref="AF10" si="58">IF(IF($F20="Higher the better",IF(Q21&gt;=Q20,Q21,NA()),IF(Q21&lt;=Q20,Q21,NA()))&lt;&gt;"",IF($F20="Higher the better",IF(Q21&gt;=Q20,Q21,NA()),IF(Q21&lt;=Q20,Q21,NA())),NA())</f>
        <v>#N/A</v>
      </c>
      <c r="AG10" t="e">
        <f t="shared" ref="AG10" si="59">IF(IF($F20="Higher the better",IF(R21&gt;=R20,R21,NA()),IF(R21&lt;=R20,R21,NA()))&lt;&gt;"",IF($F20="Higher the better",IF(R21&gt;=R20,R21,NA()),IF(R21&lt;=R20,R21,NA())),NA())</f>
        <v>#N/A</v>
      </c>
      <c r="AH10" t="e">
        <f t="shared" ref="AH10" si="60">IF(IF($F20="Higher the better",IF(S21&gt;=S20,S21,NA()),IF(S21&lt;=S20,S21,NA()))&lt;&gt;"",IF($F20="Higher the better",IF(S21&gt;=S20,S21,NA()),IF(S21&lt;=S20,S21,NA())),NA())</f>
        <v>#N/A</v>
      </c>
      <c r="AI10" t="e">
        <f t="shared" ref="AI10" si="61">IF(IF($F20="Higher the better",IF(T21&gt;=T20,T21,NA()),IF(T21&lt;=T20,T21,NA()))&lt;&gt;"",IF($F20="Higher the better",IF(T21&gt;=T20,T21,NA()),IF(T21&lt;=T20,T21,NA())),NA())</f>
        <v>#N/A</v>
      </c>
    </row>
    <row r="11" spans="1:35">
      <c r="A11" s="576"/>
      <c r="B11" s="576"/>
      <c r="C11" s="450"/>
      <c r="D11" s="450"/>
      <c r="E11" s="450"/>
      <c r="F11" s="569"/>
      <c r="G11" s="612"/>
      <c r="H11" s="235" t="s">
        <v>30</v>
      </c>
      <c r="I11" s="5">
        <v>0.32</v>
      </c>
      <c r="J11" s="5">
        <v>0.42</v>
      </c>
      <c r="K11" s="5">
        <v>0.52</v>
      </c>
      <c r="L11" s="5"/>
      <c r="M11" s="5"/>
      <c r="N11" s="5"/>
      <c r="O11" s="5"/>
      <c r="P11" s="5"/>
      <c r="Q11" s="5"/>
      <c r="R11" s="5"/>
      <c r="S11" s="5"/>
      <c r="T11" s="5"/>
      <c r="U11" s="89"/>
      <c r="V11" s="89"/>
      <c r="W11" t="s">
        <v>91</v>
      </c>
      <c r="X11" t="e">
        <f t="shared" ref="X11" si="62">IF(IF($F20="Higher the better",IF(I21&lt;I20,I21,NA()),IF(I21&gt;I20,I21,NA()))&lt;&gt;"",IF($F20="Higher the better",IF(I21&lt;I20,I21,NA()),IF(I21&gt;I20,I21,NA())),NA())</f>
        <v>#N/A</v>
      </c>
      <c r="Y11">
        <f t="shared" ref="Y11" si="63">IF(IF($F20="Higher the better",IF(J21&lt;J20,J21,NA()),IF(J21&gt;J20,J21,NA()))&lt;&gt;"",IF($F20="Higher the better",IF(J21&lt;J20,J21,NA()),IF(J21&gt;J20,J21,NA())),NA())</f>
        <v>0.56000000000000005</v>
      </c>
      <c r="Z11">
        <f t="shared" ref="Z11" si="64">IF(IF($F20="Higher the better",IF(K21&lt;K20,K21,NA()),IF(K21&gt;K20,K21,NA()))&lt;&gt;"",IF($F20="Higher the better",IF(K21&lt;K20,K21,NA()),IF(K21&gt;K20,K21,NA())),NA())</f>
        <v>0.57999999999999996</v>
      </c>
      <c r="AA11" t="e">
        <f t="shared" ref="AA11" si="65">IF(IF($F20="Higher the better",IF(L21&lt;L20,L21,NA()),IF(L21&gt;L20,L21,NA()))&lt;&gt;"",IF($F20="Higher the better",IF(L21&lt;L20,L21,NA()),IF(L21&gt;L20,L21,NA())),NA())</f>
        <v>#N/A</v>
      </c>
      <c r="AB11" t="e">
        <f t="shared" ref="AB11" si="66">IF(IF($F20="Higher the better",IF(M21&lt;M20,M21,NA()),IF(M21&gt;M20,M21,NA()))&lt;&gt;"",IF($F20="Higher the better",IF(M21&lt;M20,M21,NA()),IF(M21&gt;M20,M21,NA())),NA())</f>
        <v>#N/A</v>
      </c>
      <c r="AC11" t="e">
        <f t="shared" ref="AC11" si="67">IF(IF($F20="Higher the better",IF(N21&lt;N20,N21,NA()),IF(N21&gt;N20,N21,NA()))&lt;&gt;"",IF($F20="Higher the better",IF(N21&lt;N20,N21,NA()),IF(N21&gt;N20,N21,NA())),NA())</f>
        <v>#N/A</v>
      </c>
      <c r="AD11" t="e">
        <f t="shared" ref="AD11" si="68">IF(IF($F20="Higher the better",IF(O21&lt;O20,O21,NA()),IF(O21&gt;O20,O21,NA()))&lt;&gt;"",IF($F20="Higher the better",IF(O21&lt;O20,O21,NA()),IF(O21&gt;O20,O21,NA())),NA())</f>
        <v>#N/A</v>
      </c>
      <c r="AE11" t="e">
        <f t="shared" ref="AE11" si="69">IF(IF($F20="Higher the better",IF(P21&lt;P20,P21,NA()),IF(P21&gt;P20,P21,NA()))&lt;&gt;"",IF($F20="Higher the better",IF(P21&lt;P20,P21,NA()),IF(P21&gt;P20,P21,NA())),NA())</f>
        <v>#N/A</v>
      </c>
      <c r="AF11" t="e">
        <f t="shared" ref="AF11" si="70">IF(IF($F20="Higher the better",IF(Q21&lt;Q20,Q21,NA()),IF(Q21&gt;Q20,Q21,NA()))&lt;&gt;"",IF($F20="Higher the better",IF(Q21&lt;Q20,Q21,NA()),IF(Q21&gt;Q20,Q21,NA())),NA())</f>
        <v>#N/A</v>
      </c>
      <c r="AG11" t="e">
        <f t="shared" ref="AG11" si="71">IF(IF($F20="Higher the better",IF(R21&lt;R20,R21,NA()),IF(R21&gt;R20,R21,NA()))&lt;&gt;"",IF($F20="Higher the better",IF(R21&lt;R20,R21,NA()),IF(R21&gt;R20,R21,NA())),NA())</f>
        <v>#N/A</v>
      </c>
      <c r="AH11" t="e">
        <f t="shared" ref="AH11" si="72">IF(IF($F20="Higher the better",IF(S21&lt;S20,S21,NA()),IF(S21&gt;S20,S21,NA()))&lt;&gt;"",IF($F20="Higher the better",IF(S21&lt;S20,S21,NA()),IF(S21&gt;S20,S21,NA())),NA())</f>
        <v>#N/A</v>
      </c>
      <c r="AI11" t="e">
        <f t="shared" ref="AI11" si="73">IF(IF($F20="Higher the better",IF(T21&lt;T20,T21,NA()),IF(T21&gt;T20,T21,NA()))&lt;&gt;"",IF($F20="Higher the better",IF(T21&lt;T20,T21,NA()),IF(T21&gt;T20,T21,NA())),NA())</f>
        <v>#N/A</v>
      </c>
    </row>
    <row r="12" spans="1:35" ht="18.600000000000001">
      <c r="A12" s="189" t="s">
        <v>112</v>
      </c>
      <c r="B12" s="89"/>
      <c r="C12" s="225"/>
      <c r="D12" s="225"/>
      <c r="E12" s="225"/>
      <c r="F12" s="89"/>
      <c r="G12" s="238" t="s">
        <v>707</v>
      </c>
      <c r="H12" s="89"/>
      <c r="I12" s="89"/>
      <c r="J12" s="89"/>
      <c r="K12" s="89"/>
      <c r="L12" s="89"/>
      <c r="M12" s="89"/>
      <c r="N12" s="89"/>
      <c r="O12" s="89"/>
      <c r="P12" s="89"/>
      <c r="Q12" s="89"/>
      <c r="R12" s="89"/>
      <c r="S12" s="89"/>
      <c r="T12" s="89"/>
      <c r="U12" s="89"/>
      <c r="V12" s="89"/>
      <c r="W12" t="s">
        <v>90</v>
      </c>
      <c r="X12" t="e">
        <f t="shared" ref="X12" si="74">IF(IF($F22="Higher the better",IF(I23&gt;=I22,I23,NA()),IF(I23&lt;=I22,I23,NA()))&lt;&gt;"",IF($F22="Higher the better",IF(I23&gt;=I22,I23,NA()),IF(I23&lt;=I22,I23,NA())),NA())</f>
        <v>#N/A</v>
      </c>
      <c r="Y12" t="e">
        <f t="shared" ref="Y12" si="75">IF(IF($F22="Higher the better",IF(J23&gt;=J22,J23,NA()),IF(J23&lt;=J22,J23,NA()))&lt;&gt;"",IF($F22="Higher the better",IF(J23&gt;=J22,J23,NA()),IF(J23&lt;=J22,J23,NA())),NA())</f>
        <v>#N/A</v>
      </c>
      <c r="Z12" t="e">
        <f t="shared" ref="Z12" si="76">IF(IF($F22="Higher the better",IF(K23&gt;=K22,K23,NA()),IF(K23&lt;=K22,K23,NA()))&lt;&gt;"",IF($F22="Higher the better",IF(K23&gt;=K22,K23,NA()),IF(K23&lt;=K22,K23,NA())),NA())</f>
        <v>#N/A</v>
      </c>
      <c r="AA12" t="e">
        <f t="shared" ref="AA12" si="77">IF(IF($F22="Higher the better",IF(L23&gt;=L22,L23,NA()),IF(L23&lt;=L22,L23,NA()))&lt;&gt;"",IF($F22="Higher the better",IF(L23&gt;=L22,L23,NA()),IF(L23&lt;=L22,L23,NA())),NA())</f>
        <v>#N/A</v>
      </c>
      <c r="AB12" t="e">
        <f t="shared" ref="AB12" si="78">IF(IF($F22="Higher the better",IF(M23&gt;=M22,M23,NA()),IF(M23&lt;=M22,M23,NA()))&lt;&gt;"",IF($F22="Higher the better",IF(M23&gt;=M22,M23,NA()),IF(M23&lt;=M22,M23,NA())),NA())</f>
        <v>#N/A</v>
      </c>
      <c r="AC12" t="e">
        <f t="shared" ref="AC12" si="79">IF(IF($F22="Higher the better",IF(N23&gt;=N22,N23,NA()),IF(N23&lt;=N22,N23,NA()))&lt;&gt;"",IF($F22="Higher the better",IF(N23&gt;=N22,N23,NA()),IF(N23&lt;=N22,N23,NA())),NA())</f>
        <v>#N/A</v>
      </c>
      <c r="AD12" t="e">
        <f t="shared" ref="AD12" si="80">IF(IF($F22="Higher the better",IF(O23&gt;=O22,O23,NA()),IF(O23&lt;=O22,O23,NA()))&lt;&gt;"",IF($F22="Higher the better",IF(O23&gt;=O22,O23,NA()),IF(O23&lt;=O22,O23,NA())),NA())</f>
        <v>#N/A</v>
      </c>
      <c r="AE12" t="e">
        <f t="shared" ref="AE12" si="81">IF(IF($F22="Higher the better",IF(P23&gt;=P22,P23,NA()),IF(P23&lt;=P22,P23,NA()))&lt;&gt;"",IF($F22="Higher the better",IF(P23&gt;=P22,P23,NA()),IF(P23&lt;=P22,P23,NA())),NA())</f>
        <v>#N/A</v>
      </c>
      <c r="AF12" t="e">
        <f t="shared" ref="AF12" si="82">IF(IF($F22="Higher the better",IF(Q23&gt;=Q22,Q23,NA()),IF(Q23&lt;=Q22,Q23,NA()))&lt;&gt;"",IF($F22="Higher the better",IF(Q23&gt;=Q22,Q23,NA()),IF(Q23&lt;=Q22,Q23,NA())),NA())</f>
        <v>#N/A</v>
      </c>
      <c r="AG12" t="e">
        <f t="shared" ref="AG12" si="83">IF(IF($F22="Higher the better",IF(R23&gt;=R22,R23,NA()),IF(R23&lt;=R22,R23,NA()))&lt;&gt;"",IF($F22="Higher the better",IF(R23&gt;=R22,R23,NA()),IF(R23&lt;=R22,R23,NA())),NA())</f>
        <v>#N/A</v>
      </c>
      <c r="AH12" t="e">
        <f t="shared" ref="AH12" si="84">IF(IF($F22="Higher the better",IF(S23&gt;=S22,S23,NA()),IF(S23&lt;=S22,S23,NA()))&lt;&gt;"",IF($F22="Higher the better",IF(S23&gt;=S22,S23,NA()),IF(S23&lt;=S22,S23,NA())),NA())</f>
        <v>#N/A</v>
      </c>
      <c r="AI12" t="e">
        <f t="shared" ref="AI12" si="85">IF(IF($F22="Higher the better",IF(T23&gt;=T22,T23,NA()),IF(T23&lt;=T22,T23,NA()))&lt;&gt;"",IF($F22="Higher the better",IF(T23&gt;=T22,T23,NA()),IF(T23&lt;=T22,T23,NA())),NA())</f>
        <v>#N/A</v>
      </c>
    </row>
    <row r="13" spans="1:35" ht="27.6" customHeight="1">
      <c r="A13" s="190" t="s">
        <v>58</v>
      </c>
      <c r="B13" s="188" t="s">
        <v>59</v>
      </c>
      <c r="C13" s="220" t="s">
        <v>5</v>
      </c>
      <c r="D13" s="220" t="s">
        <v>60</v>
      </c>
      <c r="E13" s="220" t="s">
        <v>7</v>
      </c>
      <c r="F13" s="188" t="s">
        <v>61</v>
      </c>
      <c r="G13" s="188" t="s">
        <v>9</v>
      </c>
      <c r="H13" s="188" t="s">
        <v>62</v>
      </c>
      <c r="I13" s="208">
        <v>46023</v>
      </c>
      <c r="J13" s="208">
        <v>46054</v>
      </c>
      <c r="K13" s="208">
        <v>46082</v>
      </c>
      <c r="L13" s="208">
        <v>46113</v>
      </c>
      <c r="M13" s="208">
        <v>46143</v>
      </c>
      <c r="N13" s="208">
        <v>46174</v>
      </c>
      <c r="O13" s="208">
        <v>46204</v>
      </c>
      <c r="P13" s="208">
        <v>46235</v>
      </c>
      <c r="Q13" s="208">
        <v>46266</v>
      </c>
      <c r="R13" s="208">
        <v>46296</v>
      </c>
      <c r="S13" s="208">
        <v>46327</v>
      </c>
      <c r="T13" s="208">
        <v>46357</v>
      </c>
      <c r="U13" s="89"/>
      <c r="V13" s="89"/>
      <c r="W13" t="s">
        <v>91</v>
      </c>
      <c r="X13">
        <f t="shared" ref="X13" si="86">IF(IF($F22="Higher the better",IF(I23&lt;I22,I23,NA()),IF(I23&gt;I22,I23,NA()))&lt;&gt;"",IF($F22="Higher the better",IF(I23&lt;I22,I23,NA()),IF(I23&gt;I22,I23,NA())),NA())</f>
        <v>20</v>
      </c>
      <c r="Y13">
        <f t="shared" ref="Y13" si="87">IF(IF($F22="Higher the better",IF(J23&lt;J22,J23,NA()),IF(J23&gt;J22,J23,NA()))&lt;&gt;"",IF($F22="Higher the better",IF(J23&lt;J22,J23,NA()),IF(J23&gt;J22,J23,NA())),NA())</f>
        <v>25</v>
      </c>
      <c r="Z13">
        <f t="shared" ref="Z13" si="88">IF(IF($F22="Higher the better",IF(K23&lt;K22,K23,NA()),IF(K23&gt;K22,K23,NA()))&lt;&gt;"",IF($F22="Higher the better",IF(K23&lt;K22,K23,NA()),IF(K23&gt;K22,K23,NA())),NA())</f>
        <v>43</v>
      </c>
      <c r="AA13" t="e">
        <f t="shared" ref="AA13" si="89">IF(IF($F22="Higher the better",IF(L23&lt;L22,L23,NA()),IF(L23&gt;L22,L23,NA()))&lt;&gt;"",IF($F22="Higher the better",IF(L23&lt;L22,L23,NA()),IF(L23&gt;L22,L23,NA())),NA())</f>
        <v>#N/A</v>
      </c>
      <c r="AB13" t="e">
        <f t="shared" ref="AB13" si="90">IF(IF($F22="Higher the better",IF(M23&lt;M22,M23,NA()),IF(M23&gt;M22,M23,NA()))&lt;&gt;"",IF($F22="Higher the better",IF(M23&lt;M22,M23,NA()),IF(M23&gt;M22,M23,NA())),NA())</f>
        <v>#N/A</v>
      </c>
      <c r="AC13" t="e">
        <f t="shared" ref="AC13" si="91">IF(IF($F22="Higher the better",IF(N23&lt;N22,N23,NA()),IF(N23&gt;N22,N23,NA()))&lt;&gt;"",IF($F22="Higher the better",IF(N23&lt;N22,N23,NA()),IF(N23&gt;N22,N23,NA())),NA())</f>
        <v>#N/A</v>
      </c>
      <c r="AD13" t="e">
        <f t="shared" ref="AD13" si="92">IF(IF($F22="Higher the better",IF(O23&lt;O22,O23,NA()),IF(O23&gt;O22,O23,NA()))&lt;&gt;"",IF($F22="Higher the better",IF(O23&lt;O22,O23,NA()),IF(O23&gt;O22,O23,NA())),NA())</f>
        <v>#N/A</v>
      </c>
      <c r="AE13" t="e">
        <f t="shared" ref="AE13" si="93">IF(IF($F22="Higher the better",IF(P23&lt;P22,P23,NA()),IF(P23&gt;P22,P23,NA()))&lt;&gt;"",IF($F22="Higher the better",IF(P23&lt;P22,P23,NA()),IF(P23&gt;P22,P23,NA())),NA())</f>
        <v>#N/A</v>
      </c>
      <c r="AF13" t="e">
        <f t="shared" ref="AF13" si="94">IF(IF($F22="Higher the better",IF(Q23&lt;Q22,Q23,NA()),IF(Q23&gt;Q22,Q23,NA()))&lt;&gt;"",IF($F22="Higher the better",IF(Q23&lt;Q22,Q23,NA()),IF(Q23&gt;Q22,Q23,NA())),NA())</f>
        <v>#N/A</v>
      </c>
      <c r="AG13" t="e">
        <f t="shared" ref="AG13" si="95">IF(IF($F22="Higher the better",IF(R23&lt;R22,R23,NA()),IF(R23&gt;R22,R23,NA()))&lt;&gt;"",IF($F22="Higher the better",IF(R23&lt;R22,R23,NA()),IF(R23&gt;R22,R23,NA())),NA())</f>
        <v>#N/A</v>
      </c>
      <c r="AH13" t="e">
        <f t="shared" ref="AH13" si="96">IF(IF($F22="Higher the better",IF(S23&lt;S22,S23,NA()),IF(S23&gt;S22,S23,NA()))&lt;&gt;"",IF($F22="Higher the better",IF(S23&lt;S22,S23,NA()),IF(S23&gt;S22,S23,NA())),NA())</f>
        <v>#N/A</v>
      </c>
      <c r="AI13" t="e">
        <f t="shared" ref="AI13" si="97">IF(IF($F22="Higher the better",IF(T23&lt;T22,T23,NA()),IF(T23&gt;T22,T23,NA()))&lt;&gt;"",IF($F22="Higher the better",IF(T23&lt;T22,T23,NA()),IF(T23&gt;T22,T23,NA())),NA())</f>
        <v>#N/A</v>
      </c>
    </row>
    <row r="14" spans="1:35" ht="13.5" customHeight="1">
      <c r="A14" s="582" t="s">
        <v>725</v>
      </c>
      <c r="B14" s="582" t="s">
        <v>726</v>
      </c>
      <c r="C14" s="577" t="s">
        <v>97</v>
      </c>
      <c r="D14" s="578">
        <v>145</v>
      </c>
      <c r="E14" s="577" t="s">
        <v>98</v>
      </c>
      <c r="F14" s="568" t="s">
        <v>99</v>
      </c>
      <c r="G14" s="611" t="s">
        <v>55</v>
      </c>
      <c r="H14" s="235" t="s">
        <v>29</v>
      </c>
      <c r="I14" s="237">
        <v>6.9</v>
      </c>
      <c r="J14" s="237">
        <v>8.5</v>
      </c>
      <c r="K14" s="237">
        <v>12.6</v>
      </c>
      <c r="L14" s="237">
        <v>9.5</v>
      </c>
      <c r="M14" s="237">
        <v>10.6</v>
      </c>
      <c r="N14" s="237">
        <v>15.6</v>
      </c>
      <c r="O14" s="237">
        <v>8.9</v>
      </c>
      <c r="P14" s="237">
        <v>11.9</v>
      </c>
      <c r="Q14" s="237">
        <v>16.5</v>
      </c>
      <c r="R14" s="237">
        <v>11.2</v>
      </c>
      <c r="S14" s="237">
        <v>15.9</v>
      </c>
      <c r="T14" s="237">
        <v>16.899999999999999</v>
      </c>
      <c r="U14" s="89"/>
      <c r="V14" s="89"/>
    </row>
    <row r="15" spans="1:35" ht="14.85" customHeight="1">
      <c r="A15" s="583"/>
      <c r="B15" s="583"/>
      <c r="C15" s="450"/>
      <c r="D15" s="579"/>
      <c r="E15" s="450"/>
      <c r="F15" s="569"/>
      <c r="G15" s="612"/>
      <c r="H15" s="235" t="s">
        <v>30</v>
      </c>
      <c r="I15" s="45">
        <v>7.6</v>
      </c>
      <c r="J15" s="45">
        <v>8.9</v>
      </c>
      <c r="K15" s="45">
        <v>18.8</v>
      </c>
      <c r="L15" s="45">
        <v>7.5</v>
      </c>
      <c r="M15" s="45"/>
      <c r="N15" s="45"/>
      <c r="O15" s="45"/>
      <c r="P15" s="45"/>
      <c r="Q15" s="45"/>
      <c r="R15" s="45"/>
      <c r="S15" s="45"/>
      <c r="T15" s="45"/>
      <c r="U15" s="89"/>
      <c r="V15" s="89"/>
    </row>
    <row r="16" spans="1:35" ht="14.85" customHeight="1">
      <c r="A16" s="575" t="s">
        <v>727</v>
      </c>
      <c r="B16" s="582" t="s">
        <v>728</v>
      </c>
      <c r="C16" s="577" t="s">
        <v>97</v>
      </c>
      <c r="D16" s="580">
        <v>1</v>
      </c>
      <c r="E16" s="577" t="s">
        <v>98</v>
      </c>
      <c r="F16" s="568" t="s">
        <v>99</v>
      </c>
      <c r="G16" s="611" t="s">
        <v>55</v>
      </c>
      <c r="H16" s="235" t="s">
        <v>29</v>
      </c>
      <c r="I16" s="237"/>
      <c r="J16" s="237"/>
      <c r="K16" s="237"/>
      <c r="L16" s="237"/>
      <c r="M16" s="237"/>
      <c r="N16" s="237"/>
      <c r="O16" s="237"/>
      <c r="P16" s="237"/>
      <c r="Q16" s="237"/>
      <c r="R16" s="237"/>
      <c r="S16" s="237"/>
      <c r="T16" s="237"/>
      <c r="U16" s="89"/>
      <c r="V16" s="89"/>
    </row>
    <row r="17" spans="1:22">
      <c r="A17" s="576"/>
      <c r="B17" s="583"/>
      <c r="C17" s="450"/>
      <c r="D17" s="579"/>
      <c r="E17" s="450"/>
      <c r="F17" s="569"/>
      <c r="G17" s="612"/>
      <c r="H17" s="235" t="s">
        <v>30</v>
      </c>
      <c r="I17" s="45"/>
      <c r="J17" s="45"/>
      <c r="K17" s="45"/>
      <c r="L17" s="45"/>
      <c r="M17" s="45"/>
      <c r="N17" s="45"/>
      <c r="O17" s="45"/>
      <c r="P17" s="45"/>
      <c r="Q17" s="45"/>
      <c r="R17" s="45"/>
      <c r="S17" s="45"/>
      <c r="T17" s="45"/>
      <c r="U17" s="89"/>
      <c r="V17" s="89"/>
    </row>
    <row r="18" spans="1:22" ht="14.85" customHeight="1">
      <c r="A18" s="582" t="s">
        <v>729</v>
      </c>
      <c r="B18" s="582" t="s">
        <v>730</v>
      </c>
      <c r="C18" s="577" t="s">
        <v>97</v>
      </c>
      <c r="D18" s="580">
        <v>1</v>
      </c>
      <c r="E18" s="577" t="s">
        <v>98</v>
      </c>
      <c r="F18" s="568" t="s">
        <v>99</v>
      </c>
      <c r="G18" s="611" t="s">
        <v>593</v>
      </c>
      <c r="H18" s="235" t="s">
        <v>29</v>
      </c>
      <c r="I18" s="237"/>
      <c r="J18" s="237"/>
      <c r="K18" s="237"/>
      <c r="L18" s="237"/>
      <c r="M18" s="237"/>
      <c r="N18" s="237"/>
      <c r="O18" s="237"/>
      <c r="P18" s="237"/>
      <c r="Q18" s="237"/>
      <c r="R18" s="237"/>
      <c r="S18" s="237"/>
      <c r="T18" s="237"/>
      <c r="U18" s="89"/>
      <c r="V18" s="89"/>
    </row>
    <row r="19" spans="1:22">
      <c r="A19" s="583"/>
      <c r="B19" s="583"/>
      <c r="C19" s="450"/>
      <c r="D19" s="579"/>
      <c r="E19" s="450"/>
      <c r="F19" s="569"/>
      <c r="G19" s="612"/>
      <c r="H19" s="235" t="s">
        <v>30</v>
      </c>
      <c r="I19" s="45"/>
      <c r="J19" s="45"/>
      <c r="K19" s="45"/>
      <c r="L19" s="45"/>
      <c r="M19" s="45"/>
      <c r="N19" s="45"/>
      <c r="O19" s="45"/>
      <c r="P19" s="45"/>
      <c r="Q19" s="45"/>
      <c r="R19" s="45"/>
      <c r="S19" s="45"/>
      <c r="T19" s="45"/>
      <c r="U19" s="89"/>
      <c r="V19" s="89"/>
    </row>
    <row r="20" spans="1:22" ht="14.85" customHeight="1">
      <c r="A20" s="575" t="s">
        <v>731</v>
      </c>
      <c r="B20" s="575" t="s">
        <v>732</v>
      </c>
      <c r="C20" s="577" t="s">
        <v>97</v>
      </c>
      <c r="D20" s="580">
        <v>0.6</v>
      </c>
      <c r="E20" s="577" t="s">
        <v>98</v>
      </c>
      <c r="F20" s="568" t="s">
        <v>99</v>
      </c>
      <c r="G20" s="611" t="s">
        <v>55</v>
      </c>
      <c r="H20" s="235" t="s">
        <v>29</v>
      </c>
      <c r="I20" s="91">
        <v>0.6</v>
      </c>
      <c r="J20" s="91">
        <v>0.6</v>
      </c>
      <c r="K20" s="91">
        <v>0.6</v>
      </c>
      <c r="L20" s="237"/>
      <c r="M20" s="237"/>
      <c r="N20" s="237"/>
      <c r="O20" s="237"/>
      <c r="P20" s="237"/>
      <c r="Q20" s="237"/>
      <c r="R20" s="237"/>
      <c r="S20" s="237"/>
      <c r="T20" s="237"/>
      <c r="U20" s="89"/>
      <c r="V20" s="89"/>
    </row>
    <row r="21" spans="1:22">
      <c r="A21" s="576"/>
      <c r="B21" s="576"/>
      <c r="C21" s="450"/>
      <c r="D21" s="579"/>
      <c r="E21" s="450"/>
      <c r="F21" s="569"/>
      <c r="G21" s="612"/>
      <c r="H21" s="235" t="s">
        <v>30</v>
      </c>
      <c r="I21" s="5">
        <v>0.6</v>
      </c>
      <c r="J21" s="5">
        <v>0.56000000000000005</v>
      </c>
      <c r="K21" s="5">
        <v>0.57999999999999996</v>
      </c>
      <c r="L21" s="5"/>
      <c r="M21" s="5"/>
      <c r="N21" s="5"/>
      <c r="O21" s="5"/>
      <c r="P21" s="5"/>
      <c r="Q21" s="5"/>
      <c r="R21" s="5"/>
      <c r="S21" s="5"/>
      <c r="T21" s="5"/>
      <c r="U21" s="89"/>
      <c r="V21" s="89"/>
    </row>
    <row r="22" spans="1:22">
      <c r="A22" s="575" t="s">
        <v>733</v>
      </c>
      <c r="B22" s="575" t="s">
        <v>734</v>
      </c>
      <c r="C22" s="577" t="s">
        <v>97</v>
      </c>
      <c r="D22" s="578">
        <v>596</v>
      </c>
      <c r="E22" s="577" t="s">
        <v>54</v>
      </c>
      <c r="F22" s="568" t="s">
        <v>99</v>
      </c>
      <c r="G22" s="611" t="s">
        <v>55</v>
      </c>
      <c r="H22" s="235" t="s">
        <v>29</v>
      </c>
      <c r="I22" s="237">
        <v>28</v>
      </c>
      <c r="J22" s="237">
        <v>35</v>
      </c>
      <c r="K22" s="237">
        <v>52</v>
      </c>
      <c r="L22" s="237">
        <v>39</v>
      </c>
      <c r="M22" s="237">
        <v>44</v>
      </c>
      <c r="N22" s="237">
        <v>64</v>
      </c>
      <c r="O22" s="237">
        <v>37</v>
      </c>
      <c r="P22" s="237">
        <v>49</v>
      </c>
      <c r="Q22" s="237">
        <v>68</v>
      </c>
      <c r="R22" s="237">
        <v>46</v>
      </c>
      <c r="S22" s="237">
        <v>65</v>
      </c>
      <c r="T22" s="237">
        <v>69</v>
      </c>
      <c r="U22" s="89"/>
      <c r="V22" s="89"/>
    </row>
    <row r="23" spans="1:22" ht="15.6" customHeight="1">
      <c r="A23" s="576"/>
      <c r="B23" s="576"/>
      <c r="C23" s="450"/>
      <c r="D23" s="579"/>
      <c r="E23" s="450"/>
      <c r="F23" s="569"/>
      <c r="G23" s="612"/>
      <c r="H23" s="235" t="s">
        <v>30</v>
      </c>
      <c r="I23" s="45">
        <v>20</v>
      </c>
      <c r="J23" s="45">
        <v>25</v>
      </c>
      <c r="K23" s="45">
        <v>43</v>
      </c>
      <c r="L23" s="45"/>
      <c r="M23" s="45"/>
      <c r="N23" s="45"/>
      <c r="O23" s="45"/>
      <c r="P23" s="45"/>
      <c r="Q23" s="45"/>
      <c r="R23" s="45"/>
      <c r="S23" s="45"/>
      <c r="T23" s="45"/>
      <c r="U23" s="89"/>
      <c r="V23" s="89"/>
    </row>
    <row r="24" spans="1:22" ht="15" customHeight="1">
      <c r="A24" s="89"/>
      <c r="B24" s="89"/>
      <c r="C24" s="225"/>
      <c r="D24" s="225"/>
      <c r="E24" s="239"/>
      <c r="F24" s="89"/>
      <c r="G24" s="89"/>
      <c r="H24" s="89"/>
      <c r="I24" s="89"/>
      <c r="J24" s="89"/>
      <c r="K24" s="89"/>
      <c r="L24" s="89"/>
      <c r="M24" s="89"/>
      <c r="N24" s="89"/>
      <c r="O24" s="89"/>
      <c r="P24" s="89"/>
      <c r="Q24" s="89"/>
      <c r="R24" s="89"/>
      <c r="S24" s="89"/>
      <c r="T24" s="89"/>
      <c r="U24" s="89"/>
      <c r="V24" s="89"/>
    </row>
    <row r="25" spans="1:22" ht="21">
      <c r="A25" s="185" t="s">
        <v>217</v>
      </c>
      <c r="B25" s="89"/>
      <c r="C25" s="225"/>
      <c r="D25" s="225"/>
      <c r="E25" s="225"/>
      <c r="F25" s="89"/>
      <c r="G25" s="89"/>
      <c r="I25" s="89"/>
      <c r="J25" s="89"/>
      <c r="K25" s="89"/>
      <c r="L25" s="89"/>
      <c r="M25" s="89"/>
      <c r="N25" s="89"/>
      <c r="O25" s="89"/>
      <c r="P25" s="89"/>
      <c r="Q25" s="89"/>
      <c r="R25" s="89"/>
      <c r="S25" s="89"/>
      <c r="T25" s="89"/>
      <c r="U25" s="89"/>
      <c r="V25" s="89"/>
    </row>
    <row r="26" spans="1:22">
      <c r="A26" s="89"/>
      <c r="B26" s="89"/>
      <c r="C26" s="225"/>
      <c r="D26" s="225"/>
      <c r="E26" s="225"/>
      <c r="F26" s="89"/>
      <c r="G26" s="89"/>
      <c r="H26" s="89"/>
      <c r="I26" s="89"/>
      <c r="J26" s="89"/>
      <c r="K26" s="89"/>
      <c r="L26" s="89"/>
      <c r="M26" s="89"/>
      <c r="N26" s="89"/>
      <c r="O26" s="89"/>
      <c r="P26" s="89"/>
      <c r="Q26" s="89"/>
      <c r="R26" s="89"/>
      <c r="S26" s="89"/>
      <c r="T26" s="89"/>
      <c r="U26" s="89"/>
      <c r="V26" s="89"/>
    </row>
    <row r="27" spans="1:22">
      <c r="A27" s="89"/>
      <c r="B27" s="89"/>
      <c r="C27" s="225"/>
      <c r="D27" s="225"/>
      <c r="E27" s="225"/>
      <c r="F27" s="89"/>
      <c r="G27" s="89"/>
      <c r="H27" s="89"/>
      <c r="I27" s="89"/>
      <c r="J27" s="89"/>
      <c r="K27" s="89"/>
      <c r="L27" s="89"/>
      <c r="M27" s="89"/>
      <c r="N27" s="89"/>
      <c r="O27" s="89"/>
      <c r="P27" s="89"/>
      <c r="Q27" s="89"/>
      <c r="R27" s="89"/>
      <c r="S27" s="89"/>
      <c r="T27" s="89"/>
      <c r="U27" s="89"/>
      <c r="V27" s="89"/>
    </row>
    <row r="28" spans="1:22">
      <c r="A28" s="89"/>
      <c r="B28" s="89"/>
      <c r="C28" s="225"/>
      <c r="D28" s="225"/>
      <c r="E28" s="225"/>
      <c r="F28" s="89"/>
      <c r="G28" s="89"/>
      <c r="H28" s="89"/>
      <c r="I28" s="89"/>
      <c r="J28" s="89"/>
      <c r="K28" s="89"/>
      <c r="L28" s="89"/>
      <c r="M28" s="89"/>
      <c r="N28" s="89"/>
      <c r="O28" s="89"/>
      <c r="P28" s="89"/>
      <c r="Q28" s="89"/>
      <c r="R28" s="89"/>
      <c r="S28" s="89"/>
      <c r="T28" s="89"/>
      <c r="U28" s="89"/>
      <c r="V28" s="89"/>
    </row>
    <row r="29" spans="1:22">
      <c r="A29" s="89"/>
      <c r="B29" s="89"/>
      <c r="C29" s="225"/>
      <c r="D29" s="225"/>
      <c r="E29" s="225"/>
      <c r="F29" s="89"/>
      <c r="G29" s="89"/>
      <c r="H29" s="89"/>
      <c r="I29" s="89"/>
      <c r="J29" s="89"/>
      <c r="K29" s="89"/>
      <c r="L29" s="89"/>
      <c r="M29" s="89"/>
      <c r="N29" s="89"/>
      <c r="O29" s="89"/>
      <c r="P29" s="89"/>
      <c r="Q29" s="89"/>
      <c r="R29" s="89"/>
      <c r="S29" s="89"/>
      <c r="T29" s="89"/>
      <c r="U29" s="89"/>
      <c r="V29" s="89"/>
    </row>
    <row r="30" spans="1:22">
      <c r="A30" s="89"/>
      <c r="B30" s="89"/>
      <c r="C30" s="225"/>
      <c r="D30" s="225"/>
      <c r="E30" s="225"/>
      <c r="F30" s="89"/>
      <c r="G30" s="89"/>
      <c r="H30" s="89"/>
      <c r="I30" s="89"/>
      <c r="J30" s="89"/>
      <c r="K30" s="89"/>
      <c r="L30" s="89"/>
      <c r="M30" s="89"/>
      <c r="N30" s="89"/>
      <c r="O30" s="89"/>
      <c r="P30" s="89"/>
      <c r="Q30" s="89"/>
      <c r="R30" s="89"/>
      <c r="S30" s="89"/>
      <c r="T30" s="89"/>
      <c r="U30" s="89"/>
      <c r="V30" s="89"/>
    </row>
    <row r="31" spans="1:22">
      <c r="A31" s="89"/>
      <c r="B31" s="89"/>
      <c r="C31" s="225"/>
      <c r="D31" s="225"/>
      <c r="E31" s="225"/>
      <c r="F31" s="89"/>
      <c r="G31" s="89"/>
      <c r="H31" s="89"/>
      <c r="I31" s="89"/>
      <c r="J31" s="89"/>
      <c r="K31" s="89"/>
      <c r="L31" s="89"/>
      <c r="M31" s="89"/>
      <c r="N31" s="89"/>
      <c r="O31" s="89"/>
      <c r="P31" s="89"/>
      <c r="Q31" s="89"/>
      <c r="R31" s="89"/>
      <c r="S31" s="89"/>
      <c r="T31" s="89"/>
      <c r="U31" s="89"/>
      <c r="V31" s="89"/>
    </row>
    <row r="32" spans="1:22">
      <c r="A32" s="89"/>
      <c r="B32" s="89"/>
      <c r="C32" s="225"/>
      <c r="D32" s="225"/>
      <c r="E32" s="225"/>
      <c r="F32" s="89"/>
      <c r="G32" s="89"/>
      <c r="H32" s="89"/>
      <c r="I32" s="89"/>
      <c r="J32" s="89"/>
      <c r="K32" s="89"/>
      <c r="L32" s="89"/>
      <c r="M32" s="89"/>
      <c r="N32" s="89"/>
      <c r="O32" s="89"/>
      <c r="P32" s="89"/>
      <c r="Q32" s="89"/>
      <c r="R32" s="89"/>
      <c r="S32" s="89"/>
      <c r="T32" s="89"/>
      <c r="U32" s="89"/>
      <c r="V32" s="89"/>
    </row>
    <row r="33" spans="1:22">
      <c r="A33" s="89"/>
      <c r="B33" s="89"/>
      <c r="C33" s="225"/>
      <c r="D33" s="225"/>
      <c r="E33" s="225"/>
      <c r="F33" s="89"/>
      <c r="G33" s="89"/>
      <c r="H33" s="89"/>
      <c r="I33" s="89"/>
      <c r="J33" s="89"/>
      <c r="K33" s="89"/>
      <c r="L33" s="89"/>
      <c r="M33" s="89"/>
      <c r="N33" s="89"/>
      <c r="O33" s="89"/>
      <c r="P33" s="89"/>
      <c r="Q33" s="89"/>
      <c r="R33" s="89"/>
      <c r="S33" s="89"/>
      <c r="T33" s="89"/>
      <c r="U33" s="89"/>
      <c r="V33" s="89"/>
    </row>
    <row r="34" spans="1:22">
      <c r="A34" s="89"/>
      <c r="B34" s="89"/>
      <c r="C34" s="225"/>
      <c r="D34" s="225"/>
      <c r="E34" s="225"/>
      <c r="F34" s="89"/>
      <c r="G34" s="89"/>
      <c r="H34" s="89"/>
      <c r="I34" s="89"/>
      <c r="J34" s="89"/>
      <c r="K34" s="89"/>
      <c r="L34" s="89"/>
      <c r="M34" s="89"/>
      <c r="N34" s="89"/>
      <c r="O34" s="89"/>
      <c r="P34" s="89"/>
      <c r="Q34" s="89"/>
      <c r="R34" s="89"/>
      <c r="S34" s="89"/>
      <c r="T34" s="89"/>
      <c r="U34" s="89"/>
      <c r="V34" s="89"/>
    </row>
    <row r="35" spans="1:22">
      <c r="A35" s="89"/>
      <c r="B35" s="89"/>
      <c r="C35" s="225"/>
      <c r="D35" s="225"/>
      <c r="E35" s="225"/>
      <c r="F35" s="89"/>
      <c r="G35" s="89"/>
      <c r="H35" s="89"/>
      <c r="I35" s="89"/>
      <c r="J35" s="89"/>
      <c r="K35" s="89"/>
      <c r="L35" s="89"/>
      <c r="M35" s="89"/>
      <c r="N35" s="89"/>
      <c r="O35" s="89"/>
      <c r="P35" s="89"/>
      <c r="Q35" s="89"/>
      <c r="R35" s="89"/>
      <c r="S35" s="89"/>
      <c r="T35" s="89"/>
      <c r="U35" s="89"/>
      <c r="V35" s="89"/>
    </row>
    <row r="36" spans="1:22">
      <c r="A36" s="89"/>
      <c r="B36" s="89"/>
      <c r="C36" s="225"/>
      <c r="D36" s="225"/>
      <c r="E36" s="225"/>
      <c r="F36" s="89"/>
      <c r="G36" s="89"/>
      <c r="H36" s="89"/>
      <c r="I36" s="89"/>
      <c r="J36" s="89"/>
      <c r="K36" s="89"/>
      <c r="L36" s="89"/>
      <c r="M36" s="89"/>
      <c r="N36" s="89"/>
      <c r="O36" s="89"/>
      <c r="P36" s="89"/>
      <c r="Q36" s="89"/>
      <c r="R36" s="89"/>
      <c r="S36" s="89"/>
      <c r="T36" s="89"/>
      <c r="U36" s="89"/>
      <c r="V36" s="89"/>
    </row>
    <row r="37" spans="1:22">
      <c r="A37" s="89"/>
      <c r="B37" s="89"/>
      <c r="C37" s="225"/>
      <c r="D37" s="225"/>
      <c r="E37" s="225"/>
      <c r="F37" s="89"/>
      <c r="G37" s="89"/>
      <c r="H37" s="89"/>
      <c r="I37" s="89"/>
      <c r="J37" s="89"/>
      <c r="K37" s="89"/>
      <c r="L37" s="89"/>
      <c r="M37" s="89"/>
      <c r="N37" s="89"/>
      <c r="O37" s="89"/>
      <c r="P37" s="89"/>
      <c r="Q37" s="89"/>
      <c r="R37" s="89"/>
      <c r="S37" s="89"/>
      <c r="T37" s="89"/>
      <c r="U37" s="89"/>
      <c r="V37" s="89"/>
    </row>
    <row r="38" spans="1:22">
      <c r="A38" s="89"/>
      <c r="B38" s="89"/>
      <c r="C38" s="225"/>
      <c r="D38" s="225"/>
      <c r="E38" s="225"/>
      <c r="F38" s="89"/>
      <c r="G38" s="89"/>
      <c r="H38" s="89"/>
      <c r="I38" s="89"/>
      <c r="J38" s="89"/>
      <c r="K38" s="89"/>
      <c r="L38" s="89"/>
      <c r="M38" s="89"/>
      <c r="N38" s="89"/>
      <c r="O38" s="89"/>
      <c r="P38" s="89"/>
      <c r="Q38" s="89"/>
      <c r="R38" s="89"/>
      <c r="S38" s="89"/>
      <c r="T38" s="89"/>
      <c r="U38" s="89"/>
      <c r="V38" s="89"/>
    </row>
    <row r="39" spans="1:22">
      <c r="A39" s="89"/>
      <c r="B39" s="89"/>
      <c r="C39" s="225"/>
      <c r="D39" s="225"/>
      <c r="E39" s="225"/>
      <c r="F39" s="89"/>
      <c r="G39" s="89"/>
      <c r="H39" s="89"/>
      <c r="I39" s="89"/>
      <c r="J39" s="89"/>
      <c r="K39" s="89"/>
      <c r="L39" s="89"/>
      <c r="M39" s="89"/>
      <c r="N39" s="89"/>
      <c r="O39" s="89"/>
      <c r="P39" s="89"/>
      <c r="Q39" s="89"/>
      <c r="R39" s="89"/>
      <c r="S39" s="89"/>
      <c r="T39" s="89"/>
      <c r="U39" s="89"/>
      <c r="V39" s="89"/>
    </row>
    <row r="40" spans="1:22">
      <c r="A40" s="89"/>
      <c r="B40" s="89"/>
      <c r="C40" s="225"/>
      <c r="D40" s="225"/>
      <c r="E40" s="225"/>
      <c r="F40" s="89"/>
      <c r="G40" s="89"/>
      <c r="H40" s="89"/>
      <c r="I40" s="89"/>
      <c r="J40" s="89"/>
      <c r="K40" s="89"/>
      <c r="L40" s="89"/>
      <c r="M40" s="89"/>
      <c r="N40" s="89"/>
      <c r="O40" s="89"/>
      <c r="P40" s="89"/>
      <c r="Q40" s="89"/>
      <c r="R40" s="89"/>
      <c r="S40" s="89"/>
      <c r="T40" s="89"/>
      <c r="U40" s="89"/>
      <c r="V40" s="89"/>
    </row>
    <row r="41" spans="1:22">
      <c r="A41" s="89"/>
      <c r="B41" s="89"/>
      <c r="C41" s="225"/>
      <c r="D41" s="225"/>
      <c r="E41" s="225"/>
      <c r="F41" s="89"/>
      <c r="G41" s="89"/>
      <c r="H41" s="89"/>
      <c r="I41" s="89"/>
      <c r="J41" s="89"/>
      <c r="K41" s="89"/>
      <c r="L41" s="89"/>
      <c r="M41" s="89"/>
      <c r="N41" s="89"/>
      <c r="O41" s="89"/>
      <c r="P41" s="89"/>
      <c r="Q41" s="89"/>
      <c r="R41" s="89"/>
      <c r="S41" s="89"/>
      <c r="T41" s="89"/>
      <c r="U41" s="89"/>
      <c r="V41" s="89"/>
    </row>
    <row r="42" spans="1:22" ht="21">
      <c r="A42" s="613" t="s">
        <v>123</v>
      </c>
      <c r="B42" s="613"/>
      <c r="C42" s="613"/>
      <c r="D42" s="613"/>
      <c r="E42" s="613"/>
      <c r="F42" s="89"/>
      <c r="G42" s="89"/>
      <c r="H42" s="89"/>
      <c r="I42" s="89"/>
      <c r="J42" s="89"/>
      <c r="K42" s="89"/>
      <c r="L42" s="89"/>
      <c r="M42" s="89"/>
      <c r="N42" s="89"/>
      <c r="O42" s="89"/>
      <c r="P42" s="89"/>
      <c r="Q42" s="89"/>
      <c r="R42" s="89"/>
      <c r="S42" s="89"/>
      <c r="T42" s="89"/>
      <c r="U42" s="89"/>
      <c r="V42" s="89"/>
    </row>
    <row r="43" spans="1:22">
      <c r="A43" s="89"/>
      <c r="B43" s="89"/>
      <c r="C43" s="225"/>
      <c r="D43" s="225"/>
      <c r="E43" s="225"/>
      <c r="F43" s="89"/>
      <c r="G43" s="89"/>
      <c r="H43" s="89"/>
      <c r="I43" s="89"/>
      <c r="J43" s="89"/>
      <c r="K43" s="89"/>
      <c r="L43" s="89"/>
      <c r="M43" s="89"/>
      <c r="N43" s="89"/>
      <c r="O43" s="89"/>
      <c r="P43" s="89"/>
      <c r="Q43" s="89"/>
      <c r="R43" s="89"/>
      <c r="S43" s="89"/>
      <c r="T43" s="89"/>
      <c r="U43" s="89"/>
      <c r="V43" s="89"/>
    </row>
    <row r="44" spans="1:22" ht="21">
      <c r="A44" s="610" t="s">
        <v>124</v>
      </c>
      <c r="B44" s="610"/>
      <c r="C44" s="225"/>
      <c r="D44" s="225"/>
      <c r="E44" s="225"/>
      <c r="F44" s="89"/>
      <c r="G44" s="89"/>
      <c r="H44" s="89"/>
      <c r="I44" s="89"/>
      <c r="J44" s="89"/>
      <c r="K44" s="89"/>
      <c r="L44" s="89"/>
      <c r="M44" s="89"/>
      <c r="N44" s="89"/>
      <c r="O44" s="89"/>
      <c r="P44" s="89"/>
      <c r="Q44" s="89"/>
      <c r="R44" s="89"/>
      <c r="S44" s="89"/>
      <c r="T44" s="89"/>
      <c r="U44" s="89"/>
      <c r="V44" s="89"/>
    </row>
    <row r="45" spans="1:22" ht="20.100000000000001" customHeight="1">
      <c r="A45" s="573" t="s">
        <v>125</v>
      </c>
      <c r="B45" s="614" t="s">
        <v>126</v>
      </c>
      <c r="C45" s="615"/>
      <c r="D45" s="615"/>
      <c r="E45" s="615"/>
      <c r="F45" s="616"/>
      <c r="G45" s="89"/>
      <c r="H45" s="89"/>
      <c r="I45" s="89"/>
      <c r="J45" s="89"/>
      <c r="K45" s="89"/>
      <c r="L45" s="89"/>
      <c r="M45" s="89"/>
      <c r="N45" s="89"/>
      <c r="O45" s="89"/>
      <c r="P45" s="89"/>
      <c r="Q45" s="89"/>
      <c r="R45" s="89"/>
      <c r="S45" s="89"/>
      <c r="T45" s="89"/>
      <c r="U45" s="89"/>
      <c r="V45" s="89"/>
    </row>
    <row r="46" spans="1:22" ht="15" customHeight="1">
      <c r="A46" s="574"/>
      <c r="B46" s="191" t="s">
        <v>127</v>
      </c>
      <c r="C46" s="221" t="s">
        <v>128</v>
      </c>
      <c r="D46" s="221" t="s">
        <v>129</v>
      </c>
      <c r="E46" s="221" t="s">
        <v>130</v>
      </c>
      <c r="F46" s="192" t="s">
        <v>131</v>
      </c>
      <c r="G46" s="89"/>
      <c r="H46" s="89"/>
      <c r="I46" s="89"/>
      <c r="J46" s="89"/>
      <c r="K46" s="89"/>
      <c r="L46" s="89"/>
      <c r="M46" s="89"/>
      <c r="N46" s="89"/>
      <c r="O46" s="89"/>
      <c r="P46" s="89"/>
      <c r="Q46" s="89"/>
      <c r="R46" s="89"/>
      <c r="S46" s="89"/>
      <c r="T46" s="89"/>
      <c r="U46" s="89"/>
      <c r="V46" s="89"/>
    </row>
    <row r="47" spans="1:22" ht="19.350000000000001" customHeight="1">
      <c r="A47" s="240" t="s">
        <v>637</v>
      </c>
      <c r="B47" s="241" t="s">
        <v>735</v>
      </c>
      <c r="C47" s="242" t="s">
        <v>736</v>
      </c>
      <c r="D47" s="242" t="s">
        <v>737</v>
      </c>
      <c r="E47" s="242" t="s">
        <v>738</v>
      </c>
      <c r="F47" s="243" t="s">
        <v>739</v>
      </c>
      <c r="G47" s="89"/>
      <c r="H47" s="89"/>
      <c r="I47" s="89"/>
      <c r="J47" s="89"/>
      <c r="K47" s="89"/>
      <c r="L47" s="89"/>
      <c r="M47" s="89"/>
      <c r="N47" s="89"/>
      <c r="O47" s="89"/>
      <c r="P47" s="89"/>
      <c r="Q47" s="89"/>
      <c r="R47" s="89"/>
      <c r="S47" s="89"/>
      <c r="T47" s="89"/>
      <c r="U47" s="89"/>
      <c r="V47" s="89"/>
    </row>
    <row r="48" spans="1:22" ht="19.350000000000001" customHeight="1">
      <c r="A48" s="244" t="s">
        <v>135</v>
      </c>
      <c r="B48" s="245">
        <v>0.4</v>
      </c>
      <c r="C48" s="246">
        <v>0.4</v>
      </c>
      <c r="D48" s="246">
        <v>0.2</v>
      </c>
      <c r="E48" s="247" t="s">
        <v>707</v>
      </c>
      <c r="F48" s="248" t="s">
        <v>707</v>
      </c>
      <c r="G48" s="89"/>
      <c r="H48" s="89"/>
      <c r="I48" s="89"/>
      <c r="J48" s="89"/>
      <c r="K48" s="89"/>
      <c r="L48" s="89"/>
      <c r="M48" s="89"/>
      <c r="N48" s="89"/>
      <c r="O48" s="89"/>
      <c r="P48" s="89"/>
      <c r="Q48" s="89"/>
      <c r="R48" s="89"/>
      <c r="S48" s="89"/>
      <c r="T48" s="89"/>
      <c r="U48" s="89"/>
      <c r="V48" s="89"/>
    </row>
    <row r="49" spans="1:22" ht="19.350000000000001" customHeight="1">
      <c r="A49" s="191" t="s">
        <v>136</v>
      </c>
      <c r="B49" s="192" t="s">
        <v>127</v>
      </c>
      <c r="C49" s="221" t="s">
        <v>128</v>
      </c>
      <c r="D49" s="221" t="s">
        <v>129</v>
      </c>
      <c r="E49" s="221" t="s">
        <v>130</v>
      </c>
      <c r="F49" s="192" t="s">
        <v>131</v>
      </c>
      <c r="G49" s="89"/>
      <c r="H49" s="89"/>
      <c r="I49" s="89"/>
      <c r="J49" s="89"/>
      <c r="K49" s="89"/>
      <c r="L49" s="89"/>
      <c r="M49" s="89"/>
      <c r="N49" s="89"/>
      <c r="O49" s="89"/>
      <c r="P49" s="89"/>
      <c r="Q49" s="89"/>
      <c r="R49" s="89"/>
      <c r="S49" s="89"/>
      <c r="T49" s="89"/>
      <c r="U49" s="89"/>
      <c r="V49" s="89"/>
    </row>
    <row r="50" spans="1:22" ht="19.350000000000001" customHeight="1">
      <c r="A50" s="249" t="s">
        <v>707</v>
      </c>
      <c r="B50" s="248" t="s">
        <v>707</v>
      </c>
      <c r="C50" s="247" t="s">
        <v>707</v>
      </c>
      <c r="D50" s="247" t="s">
        <v>707</v>
      </c>
      <c r="E50" s="247" t="s">
        <v>707</v>
      </c>
      <c r="F50" s="248" t="s">
        <v>707</v>
      </c>
      <c r="G50" s="89"/>
      <c r="H50" s="89"/>
      <c r="I50" s="89"/>
      <c r="J50" s="89"/>
      <c r="K50" s="89"/>
      <c r="L50" s="89"/>
      <c r="M50" s="89"/>
      <c r="N50" s="89"/>
      <c r="O50" s="89"/>
      <c r="P50" s="89"/>
      <c r="Q50" s="89"/>
      <c r="R50" s="89"/>
      <c r="S50" s="89"/>
      <c r="T50" s="89"/>
      <c r="U50" s="89"/>
      <c r="V50" s="89"/>
    </row>
    <row r="51" spans="1:22" ht="19.350000000000001" customHeight="1">
      <c r="A51" s="244" t="s">
        <v>135</v>
      </c>
      <c r="B51" s="248" t="s">
        <v>707</v>
      </c>
      <c r="C51" s="247" t="s">
        <v>707</v>
      </c>
      <c r="D51" s="247" t="s">
        <v>707</v>
      </c>
      <c r="E51" s="247" t="s">
        <v>707</v>
      </c>
      <c r="F51" s="248" t="s">
        <v>707</v>
      </c>
      <c r="G51" s="89"/>
      <c r="H51" s="89"/>
      <c r="I51" s="89"/>
      <c r="J51" s="89"/>
      <c r="K51" s="89"/>
      <c r="L51" s="89"/>
      <c r="M51" s="89"/>
      <c r="N51" s="89"/>
      <c r="O51" s="89"/>
      <c r="P51" s="89"/>
      <c r="Q51" s="89"/>
      <c r="R51" s="89"/>
      <c r="S51" s="89"/>
      <c r="T51" s="89"/>
      <c r="U51" s="89"/>
      <c r="V51" s="89"/>
    </row>
    <row r="52" spans="1:22" ht="19.350000000000001" customHeight="1">
      <c r="A52" s="191" t="s">
        <v>136</v>
      </c>
      <c r="B52" s="192" t="s">
        <v>127</v>
      </c>
      <c r="C52" s="221" t="s">
        <v>128</v>
      </c>
      <c r="D52" s="221" t="s">
        <v>129</v>
      </c>
      <c r="E52" s="221" t="s">
        <v>130</v>
      </c>
      <c r="F52" s="192" t="s">
        <v>131</v>
      </c>
      <c r="G52" s="89"/>
      <c r="H52" s="89"/>
      <c r="I52" s="89"/>
      <c r="J52" s="89"/>
      <c r="K52" s="89"/>
      <c r="L52" s="89"/>
      <c r="M52" s="89"/>
      <c r="N52" s="89"/>
      <c r="O52" s="89"/>
      <c r="P52" s="89"/>
      <c r="Q52" s="89"/>
      <c r="R52" s="89"/>
      <c r="S52" s="89"/>
      <c r="T52" s="89"/>
      <c r="U52" s="89"/>
      <c r="V52" s="89"/>
    </row>
    <row r="53" spans="1:22" ht="19.350000000000001" customHeight="1">
      <c r="A53" s="249" t="s">
        <v>707</v>
      </c>
      <c r="B53" s="248" t="s">
        <v>707</v>
      </c>
      <c r="C53" s="247" t="s">
        <v>707</v>
      </c>
      <c r="D53" s="247" t="s">
        <v>707</v>
      </c>
      <c r="E53" s="247" t="s">
        <v>707</v>
      </c>
      <c r="F53" s="248" t="s">
        <v>707</v>
      </c>
      <c r="G53" s="89"/>
      <c r="H53" s="89"/>
      <c r="I53" s="89"/>
      <c r="J53" s="89"/>
      <c r="K53" s="89"/>
      <c r="L53" s="89"/>
      <c r="M53" s="89"/>
      <c r="N53" s="89"/>
      <c r="O53" s="89"/>
      <c r="P53" s="89"/>
      <c r="Q53" s="89"/>
      <c r="R53" s="89"/>
      <c r="S53" s="89"/>
      <c r="T53" s="89"/>
      <c r="U53" s="89"/>
      <c r="V53" s="89"/>
    </row>
    <row r="54" spans="1:22" ht="19.350000000000001" customHeight="1">
      <c r="A54" s="244" t="s">
        <v>135</v>
      </c>
      <c r="B54" s="248" t="s">
        <v>707</v>
      </c>
      <c r="C54" s="247" t="s">
        <v>707</v>
      </c>
      <c r="D54" s="247" t="s">
        <v>707</v>
      </c>
      <c r="E54" s="247" t="s">
        <v>707</v>
      </c>
      <c r="F54" s="248" t="s">
        <v>707</v>
      </c>
      <c r="G54" s="89"/>
      <c r="H54" s="89"/>
      <c r="I54" s="89"/>
      <c r="J54" s="89"/>
      <c r="K54" s="89"/>
      <c r="L54" s="89"/>
      <c r="M54" s="89"/>
      <c r="N54" s="89"/>
      <c r="O54" s="89"/>
      <c r="P54" s="89"/>
      <c r="Q54" s="89"/>
      <c r="R54" s="89"/>
      <c r="S54" s="89"/>
      <c r="T54" s="89"/>
      <c r="U54" s="89"/>
      <c r="V54" s="89"/>
    </row>
    <row r="55" spans="1:22" ht="19.350000000000001" customHeight="1">
      <c r="A55" s="191" t="s">
        <v>136</v>
      </c>
      <c r="B55" s="192" t="s">
        <v>127</v>
      </c>
      <c r="C55" s="221" t="s">
        <v>128</v>
      </c>
      <c r="D55" s="221" t="s">
        <v>129</v>
      </c>
      <c r="E55" s="221" t="s">
        <v>130</v>
      </c>
      <c r="F55" s="192" t="s">
        <v>131</v>
      </c>
      <c r="G55" s="89"/>
      <c r="H55" s="89"/>
      <c r="I55" s="89"/>
      <c r="J55" s="89"/>
      <c r="K55" s="89"/>
      <c r="L55" s="89"/>
      <c r="M55" s="89"/>
      <c r="N55" s="89"/>
      <c r="O55" s="89"/>
      <c r="P55" s="89"/>
      <c r="Q55" s="89"/>
      <c r="R55" s="89"/>
      <c r="S55" s="89"/>
      <c r="T55" s="89"/>
      <c r="U55" s="89"/>
      <c r="V55" s="89"/>
    </row>
    <row r="56" spans="1:22" ht="19.350000000000001" customHeight="1">
      <c r="A56" s="249" t="s">
        <v>707</v>
      </c>
      <c r="B56" s="248" t="s">
        <v>707</v>
      </c>
      <c r="C56" s="247" t="s">
        <v>707</v>
      </c>
      <c r="D56" s="247" t="s">
        <v>707</v>
      </c>
      <c r="E56" s="247" t="s">
        <v>707</v>
      </c>
      <c r="F56" s="248" t="s">
        <v>707</v>
      </c>
      <c r="G56" s="89"/>
      <c r="H56" s="89"/>
      <c r="I56" s="89"/>
      <c r="J56" s="89"/>
      <c r="K56" s="89"/>
      <c r="L56" s="89"/>
      <c r="M56" s="89"/>
      <c r="N56" s="89"/>
      <c r="O56" s="89"/>
      <c r="P56" s="89"/>
      <c r="Q56" s="89"/>
      <c r="R56" s="89"/>
      <c r="S56" s="89"/>
      <c r="T56" s="89"/>
      <c r="U56" s="89"/>
      <c r="V56" s="89"/>
    </row>
    <row r="57" spans="1:22" ht="19.350000000000001" customHeight="1">
      <c r="A57" s="244" t="s">
        <v>135</v>
      </c>
      <c r="B57" s="248" t="s">
        <v>707</v>
      </c>
      <c r="C57" s="247" t="s">
        <v>707</v>
      </c>
      <c r="D57" s="247" t="s">
        <v>707</v>
      </c>
      <c r="E57" s="247" t="s">
        <v>707</v>
      </c>
      <c r="F57" s="248" t="s">
        <v>707</v>
      </c>
      <c r="G57" s="89"/>
      <c r="H57" s="89"/>
      <c r="I57" s="89"/>
      <c r="J57" s="89"/>
      <c r="K57" s="89"/>
      <c r="L57" s="89"/>
      <c r="M57" s="89"/>
      <c r="N57" s="89"/>
      <c r="O57" s="89"/>
      <c r="P57" s="89"/>
      <c r="Q57" s="89"/>
      <c r="R57" s="89"/>
      <c r="S57" s="89"/>
      <c r="T57" s="89"/>
      <c r="U57" s="89"/>
      <c r="V57" s="89"/>
    </row>
    <row r="58" spans="1:22" ht="19.350000000000001" customHeight="1">
      <c r="A58" s="191" t="s">
        <v>136</v>
      </c>
      <c r="B58" s="192" t="s">
        <v>127</v>
      </c>
      <c r="C58" s="221" t="s">
        <v>128</v>
      </c>
      <c r="D58" s="221" t="s">
        <v>129</v>
      </c>
      <c r="E58" s="221" t="s">
        <v>130</v>
      </c>
      <c r="F58" s="192" t="s">
        <v>131</v>
      </c>
      <c r="G58" s="89"/>
      <c r="H58" s="89"/>
      <c r="I58" s="89"/>
      <c r="J58" s="89"/>
      <c r="K58" s="89"/>
      <c r="L58" s="89"/>
      <c r="M58" s="89"/>
      <c r="N58" s="89"/>
      <c r="O58" s="89"/>
      <c r="P58" s="89"/>
      <c r="Q58" s="89"/>
      <c r="R58" s="89"/>
      <c r="S58" s="89"/>
      <c r="T58" s="89"/>
      <c r="U58" s="89"/>
      <c r="V58" s="89"/>
    </row>
    <row r="59" spans="1:22" ht="19.350000000000001" customHeight="1">
      <c r="A59" s="249" t="s">
        <v>707</v>
      </c>
      <c r="B59" s="248" t="s">
        <v>707</v>
      </c>
      <c r="C59" s="247" t="s">
        <v>707</v>
      </c>
      <c r="D59" s="247" t="s">
        <v>707</v>
      </c>
      <c r="E59" s="247" t="s">
        <v>707</v>
      </c>
      <c r="F59" s="248" t="s">
        <v>707</v>
      </c>
      <c r="G59" s="89"/>
      <c r="H59" s="89"/>
      <c r="I59" s="89"/>
      <c r="J59" s="89"/>
      <c r="K59" s="89"/>
      <c r="L59" s="89"/>
      <c r="M59" s="89"/>
      <c r="N59" s="89"/>
      <c r="O59" s="89"/>
      <c r="P59" s="89"/>
      <c r="Q59" s="89"/>
      <c r="R59" s="89"/>
      <c r="S59" s="89"/>
      <c r="T59" s="89"/>
      <c r="U59" s="89"/>
      <c r="V59" s="89"/>
    </row>
    <row r="60" spans="1:22" ht="19.350000000000001" customHeight="1">
      <c r="A60" s="244" t="s">
        <v>135</v>
      </c>
      <c r="B60" s="248" t="s">
        <v>707</v>
      </c>
      <c r="C60" s="247" t="s">
        <v>707</v>
      </c>
      <c r="D60" s="247" t="s">
        <v>707</v>
      </c>
      <c r="E60" s="247" t="s">
        <v>707</v>
      </c>
      <c r="F60" s="248" t="s">
        <v>707</v>
      </c>
      <c r="G60" s="89"/>
      <c r="H60" s="89"/>
      <c r="I60" s="89"/>
      <c r="J60" s="89"/>
      <c r="K60" s="89"/>
      <c r="L60" s="89"/>
      <c r="M60" s="89"/>
      <c r="N60" s="89"/>
      <c r="O60" s="89"/>
      <c r="P60" s="89"/>
      <c r="Q60" s="89"/>
      <c r="R60" s="89"/>
      <c r="S60" s="89"/>
      <c r="T60" s="89"/>
      <c r="U60" s="89"/>
      <c r="V60" s="89"/>
    </row>
    <row r="61" spans="1:22" ht="19.350000000000001" customHeight="1">
      <c r="A61" s="191" t="s">
        <v>136</v>
      </c>
      <c r="B61" s="192" t="s">
        <v>127</v>
      </c>
      <c r="C61" s="221" t="s">
        <v>128</v>
      </c>
      <c r="D61" s="221" t="s">
        <v>129</v>
      </c>
      <c r="E61" s="221" t="s">
        <v>130</v>
      </c>
      <c r="F61" s="192" t="s">
        <v>131</v>
      </c>
      <c r="G61" s="89"/>
      <c r="H61" s="89"/>
      <c r="I61" s="89"/>
      <c r="J61" s="89"/>
      <c r="K61" s="89"/>
      <c r="L61" s="89"/>
      <c r="M61" s="89"/>
      <c r="N61" s="89"/>
      <c r="O61" s="89"/>
      <c r="P61" s="89"/>
      <c r="Q61" s="89"/>
      <c r="R61" s="89"/>
      <c r="S61" s="89"/>
      <c r="T61" s="89"/>
      <c r="U61" s="89"/>
      <c r="V61" s="89"/>
    </row>
    <row r="62" spans="1:22" ht="19.350000000000001" customHeight="1">
      <c r="A62" s="249" t="s">
        <v>707</v>
      </c>
      <c r="B62" s="248" t="s">
        <v>707</v>
      </c>
      <c r="C62" s="247" t="s">
        <v>707</v>
      </c>
      <c r="D62" s="247" t="s">
        <v>707</v>
      </c>
      <c r="E62" s="247" t="s">
        <v>707</v>
      </c>
      <c r="F62" s="248" t="s">
        <v>707</v>
      </c>
      <c r="G62" s="89"/>
      <c r="H62" s="89"/>
      <c r="I62" s="89"/>
      <c r="J62" s="89"/>
      <c r="K62" s="89"/>
      <c r="L62" s="89"/>
      <c r="M62" s="89"/>
      <c r="N62" s="89"/>
      <c r="O62" s="89"/>
      <c r="P62" s="89"/>
      <c r="Q62" s="89"/>
      <c r="R62" s="89"/>
      <c r="S62" s="89"/>
      <c r="T62" s="89"/>
      <c r="U62" s="89"/>
      <c r="V62" s="89"/>
    </row>
    <row r="63" spans="1:22" ht="19.350000000000001" customHeight="1">
      <c r="A63" s="244" t="s">
        <v>135</v>
      </c>
      <c r="B63" s="248" t="s">
        <v>707</v>
      </c>
      <c r="C63" s="247" t="s">
        <v>707</v>
      </c>
      <c r="D63" s="247" t="s">
        <v>707</v>
      </c>
      <c r="E63" s="247" t="s">
        <v>707</v>
      </c>
      <c r="F63" s="248" t="s">
        <v>707</v>
      </c>
      <c r="G63" s="89"/>
      <c r="H63" s="89"/>
      <c r="I63" s="89"/>
      <c r="J63" s="89"/>
      <c r="K63" s="89"/>
      <c r="L63" s="89"/>
      <c r="M63" s="89"/>
      <c r="N63" s="89"/>
      <c r="O63" s="89"/>
      <c r="P63" s="89"/>
      <c r="Q63" s="89"/>
      <c r="R63" s="89"/>
      <c r="S63" s="89"/>
      <c r="T63" s="89"/>
      <c r="U63" s="89"/>
      <c r="V63" s="89"/>
    </row>
    <row r="64" spans="1:22" ht="14.85" customHeight="1">
      <c r="A64" s="185" t="s">
        <v>144</v>
      </c>
      <c r="B64" s="89"/>
      <c r="C64" s="225"/>
      <c r="D64" s="225"/>
      <c r="E64" s="225"/>
      <c r="F64" s="89"/>
      <c r="G64" s="89"/>
      <c r="H64" s="89"/>
      <c r="I64" s="89"/>
      <c r="J64" s="89"/>
      <c r="K64" s="89"/>
      <c r="L64" s="89"/>
      <c r="M64" s="89"/>
      <c r="N64" s="89"/>
      <c r="O64" s="89"/>
      <c r="P64" s="89"/>
      <c r="Q64" s="89"/>
      <c r="R64" s="89"/>
      <c r="S64" s="89"/>
      <c r="T64" s="89"/>
      <c r="U64" s="89"/>
      <c r="V64" s="89"/>
    </row>
    <row r="65" spans="1:22">
      <c r="A65" s="89"/>
      <c r="B65" s="89"/>
      <c r="C65" s="225"/>
      <c r="D65" s="225"/>
      <c r="E65" s="225"/>
      <c r="F65" s="89"/>
      <c r="G65" s="89"/>
      <c r="H65" s="89"/>
      <c r="I65" s="89"/>
      <c r="J65" s="89"/>
      <c r="K65" s="89"/>
      <c r="L65" s="89"/>
      <c r="M65" s="89"/>
      <c r="N65" s="89"/>
      <c r="O65" s="89"/>
      <c r="P65" s="89"/>
      <c r="Q65" s="89"/>
      <c r="R65" s="89"/>
      <c r="S65" s="89"/>
      <c r="T65" s="89"/>
      <c r="U65" s="89"/>
      <c r="V65" s="89"/>
    </row>
    <row r="66" spans="1:22">
      <c r="A66" s="89"/>
      <c r="B66" s="89"/>
      <c r="C66" s="225"/>
      <c r="D66" s="225"/>
      <c r="E66" s="225"/>
      <c r="F66" s="89"/>
      <c r="G66" s="89"/>
      <c r="H66" s="89"/>
      <c r="I66" s="89"/>
      <c r="J66" s="89"/>
      <c r="K66" s="89"/>
      <c r="L66" s="89"/>
      <c r="M66" s="89"/>
      <c r="N66" s="89"/>
      <c r="O66" s="89"/>
      <c r="P66" s="89"/>
      <c r="Q66" s="89"/>
      <c r="R66" s="89"/>
      <c r="S66" s="89"/>
      <c r="T66" s="89"/>
      <c r="U66" s="89"/>
      <c r="V66" s="89"/>
    </row>
    <row r="67" spans="1:22">
      <c r="A67" s="89"/>
      <c r="B67" s="89"/>
      <c r="C67" s="225"/>
      <c r="D67" s="225"/>
      <c r="E67" s="225"/>
      <c r="F67" s="89"/>
      <c r="G67" s="89"/>
      <c r="H67" s="89"/>
      <c r="I67" s="89"/>
      <c r="J67" s="89"/>
      <c r="K67" s="89"/>
      <c r="L67" s="89"/>
      <c r="M67" s="89"/>
      <c r="N67" s="89"/>
      <c r="O67" s="89"/>
      <c r="P67" s="89"/>
      <c r="Q67" s="89"/>
      <c r="R67" s="89"/>
      <c r="S67" s="89"/>
      <c r="T67" s="89"/>
      <c r="U67" s="89"/>
      <c r="V67" s="89"/>
    </row>
    <row r="68" spans="1:22">
      <c r="A68" s="89"/>
      <c r="B68" s="89"/>
      <c r="C68" s="225"/>
      <c r="D68" s="225"/>
      <c r="E68" s="225"/>
      <c r="F68" s="89"/>
      <c r="G68" s="89"/>
      <c r="H68" s="89"/>
      <c r="I68" s="89"/>
      <c r="J68" s="89"/>
      <c r="K68" s="89"/>
      <c r="L68" s="89"/>
      <c r="M68" s="89"/>
      <c r="N68" s="89"/>
      <c r="O68" s="89"/>
      <c r="P68" s="89"/>
      <c r="Q68" s="89"/>
      <c r="R68" s="89"/>
      <c r="S68" s="89"/>
      <c r="T68" s="89"/>
      <c r="U68" s="89"/>
      <c r="V68" s="89"/>
    </row>
    <row r="69" spans="1:22">
      <c r="A69" s="89"/>
      <c r="B69" s="89"/>
      <c r="C69" s="225"/>
      <c r="D69" s="225"/>
      <c r="E69" s="225"/>
      <c r="F69" s="89"/>
      <c r="G69" s="89"/>
      <c r="H69" s="89"/>
      <c r="I69" s="89"/>
      <c r="J69" s="89"/>
      <c r="K69" s="89"/>
      <c r="L69" s="89"/>
      <c r="M69" s="89"/>
      <c r="N69" s="89"/>
      <c r="O69" s="89"/>
      <c r="P69" s="89"/>
      <c r="Q69" s="89"/>
      <c r="R69" s="89"/>
      <c r="S69" s="89"/>
      <c r="T69" s="89"/>
      <c r="U69" s="89"/>
      <c r="V69" s="89"/>
    </row>
    <row r="70" spans="1:22">
      <c r="A70" s="89"/>
      <c r="B70" s="89"/>
      <c r="C70" s="225"/>
      <c r="D70" s="225"/>
      <c r="E70" s="225"/>
      <c r="F70" s="89"/>
      <c r="G70" s="89"/>
      <c r="H70" s="89"/>
      <c r="I70" s="89"/>
      <c r="J70" s="89"/>
      <c r="K70" s="89"/>
      <c r="L70" s="89"/>
      <c r="M70" s="89"/>
      <c r="N70" s="89"/>
      <c r="O70" s="89"/>
      <c r="P70" s="89"/>
      <c r="Q70" s="89"/>
      <c r="R70" s="89"/>
      <c r="S70" s="89"/>
      <c r="T70" s="89"/>
      <c r="U70" s="89"/>
      <c r="V70" s="89"/>
    </row>
    <row r="71" spans="1:22">
      <c r="A71" s="89"/>
      <c r="B71" s="89"/>
      <c r="C71" s="225"/>
      <c r="D71" s="225"/>
      <c r="E71" s="225"/>
      <c r="F71" s="89"/>
      <c r="G71" s="89"/>
      <c r="H71" s="89"/>
      <c r="I71" s="89"/>
      <c r="J71" s="89"/>
      <c r="K71" s="89"/>
      <c r="L71" s="89"/>
      <c r="M71" s="89"/>
      <c r="N71" s="89"/>
      <c r="O71" s="89"/>
      <c r="P71" s="89"/>
      <c r="Q71" s="89"/>
      <c r="R71" s="89"/>
      <c r="S71" s="89"/>
      <c r="T71" s="89"/>
      <c r="U71" s="89"/>
      <c r="V71" s="89"/>
    </row>
    <row r="72" spans="1:22">
      <c r="A72" s="89"/>
      <c r="B72" s="89"/>
      <c r="C72" s="225"/>
      <c r="D72" s="225"/>
      <c r="E72" s="225"/>
      <c r="F72" s="89"/>
      <c r="G72" s="89"/>
      <c r="H72" s="89"/>
      <c r="I72" s="89"/>
      <c r="J72" s="89"/>
      <c r="K72" s="89"/>
      <c r="L72" s="89"/>
      <c r="M72" s="89"/>
      <c r="N72" s="89"/>
      <c r="O72" s="89"/>
      <c r="P72" s="89"/>
      <c r="Q72" s="89"/>
      <c r="R72" s="89"/>
      <c r="S72" s="89"/>
      <c r="T72" s="89"/>
      <c r="U72" s="89"/>
      <c r="V72" s="89"/>
    </row>
    <row r="73" spans="1:22">
      <c r="A73" s="89"/>
      <c r="B73" s="89"/>
      <c r="C73" s="225"/>
      <c r="D73" s="225"/>
      <c r="E73" s="225"/>
      <c r="F73" s="89"/>
      <c r="G73" s="89"/>
      <c r="H73" s="89"/>
      <c r="I73" s="89"/>
      <c r="J73" s="89"/>
      <c r="K73" s="89"/>
      <c r="L73" s="89"/>
      <c r="M73" s="89"/>
      <c r="N73" s="89"/>
      <c r="O73" s="89"/>
      <c r="P73" s="89"/>
      <c r="Q73" s="89"/>
      <c r="R73" s="89"/>
      <c r="S73" s="89"/>
      <c r="T73" s="89"/>
      <c r="U73" s="89"/>
      <c r="V73" s="89"/>
    </row>
    <row r="74" spans="1:22">
      <c r="A74" s="89"/>
      <c r="B74" s="89"/>
      <c r="C74" s="225"/>
      <c r="D74" s="225"/>
      <c r="E74" s="225"/>
      <c r="F74" s="89"/>
      <c r="G74" s="89"/>
      <c r="H74" s="89"/>
      <c r="I74" s="89"/>
      <c r="J74" s="89"/>
      <c r="K74" s="89"/>
      <c r="L74" s="89"/>
      <c r="M74" s="89"/>
      <c r="N74" s="89"/>
      <c r="O74" s="89"/>
      <c r="P74" s="89"/>
      <c r="Q74" s="89"/>
      <c r="R74" s="89"/>
      <c r="S74" s="89"/>
      <c r="T74" s="89"/>
      <c r="U74" s="89"/>
      <c r="V74" s="89"/>
    </row>
    <row r="75" spans="1:22">
      <c r="A75" s="89"/>
      <c r="B75" s="89"/>
      <c r="C75" s="225"/>
      <c r="D75" s="225"/>
      <c r="E75" s="225"/>
      <c r="F75" s="89"/>
      <c r="G75" s="89"/>
      <c r="H75" s="89"/>
      <c r="I75" s="89"/>
      <c r="J75" s="89"/>
      <c r="K75" s="89"/>
      <c r="L75" s="89"/>
      <c r="M75" s="89"/>
      <c r="N75" s="89"/>
      <c r="O75" s="89"/>
      <c r="P75" s="89"/>
      <c r="Q75" s="89"/>
      <c r="R75" s="89"/>
      <c r="S75" s="89"/>
      <c r="T75" s="89"/>
      <c r="U75" s="89"/>
      <c r="V75" s="89"/>
    </row>
    <row r="76" spans="1:22">
      <c r="A76" s="89"/>
      <c r="B76" s="89"/>
      <c r="C76" s="225"/>
      <c r="D76" s="225"/>
      <c r="E76" s="225"/>
      <c r="F76" s="89"/>
      <c r="G76" s="89"/>
      <c r="H76" s="89"/>
      <c r="I76" s="89"/>
      <c r="J76" s="89"/>
      <c r="K76" s="89"/>
      <c r="L76" s="89"/>
      <c r="M76" s="89"/>
      <c r="N76" s="89"/>
      <c r="O76" s="89"/>
      <c r="P76" s="89"/>
      <c r="Q76" s="89"/>
      <c r="R76" s="89"/>
      <c r="S76" s="89"/>
      <c r="T76" s="89"/>
      <c r="U76" s="89"/>
      <c r="V76" s="89"/>
    </row>
    <row r="77" spans="1:22">
      <c r="A77" s="89"/>
      <c r="B77" s="89"/>
      <c r="C77" s="225"/>
      <c r="D77" s="225"/>
      <c r="E77" s="225"/>
      <c r="F77" s="89"/>
      <c r="G77" s="89"/>
      <c r="H77" s="89"/>
      <c r="I77" s="89"/>
      <c r="J77" s="89"/>
      <c r="K77" s="89"/>
      <c r="L77" s="89"/>
      <c r="M77" s="89"/>
      <c r="N77" s="89"/>
      <c r="O77" s="89"/>
      <c r="P77" s="89"/>
      <c r="Q77" s="89"/>
      <c r="R77" s="89"/>
      <c r="S77" s="89"/>
      <c r="T77" s="89"/>
      <c r="U77" s="89"/>
      <c r="V77" s="89"/>
    </row>
    <row r="78" spans="1:22">
      <c r="A78" s="89"/>
      <c r="B78" s="89"/>
      <c r="C78" s="225"/>
      <c r="D78" s="225"/>
      <c r="E78" s="225"/>
      <c r="F78" s="89"/>
      <c r="G78" s="89"/>
      <c r="H78" s="89"/>
      <c r="I78" s="89"/>
      <c r="J78" s="89"/>
      <c r="K78" s="89"/>
      <c r="L78" s="89"/>
      <c r="M78" s="89"/>
      <c r="N78" s="89"/>
      <c r="O78" s="89"/>
      <c r="P78" s="89"/>
      <c r="Q78" s="89"/>
      <c r="R78" s="89"/>
      <c r="S78" s="89"/>
      <c r="T78" s="89"/>
      <c r="U78" s="89"/>
      <c r="V78" s="89"/>
    </row>
    <row r="79" spans="1:22" ht="15" thickBot="1">
      <c r="A79" s="89"/>
      <c r="B79" s="89"/>
      <c r="C79" s="225"/>
      <c r="D79" s="225"/>
      <c r="E79" s="225"/>
      <c r="F79" s="89"/>
      <c r="G79" s="89"/>
      <c r="H79" s="89"/>
      <c r="I79" s="89"/>
      <c r="J79" s="89"/>
      <c r="K79" s="89"/>
      <c r="L79" s="89"/>
      <c r="M79" s="89"/>
      <c r="N79" s="89"/>
      <c r="O79" s="89"/>
      <c r="P79" s="89"/>
      <c r="Q79" s="89"/>
      <c r="R79" s="89"/>
      <c r="S79" s="89"/>
      <c r="T79" s="89"/>
      <c r="U79" s="89"/>
      <c r="V79" s="89"/>
    </row>
    <row r="80" spans="1:22" ht="15" customHeight="1" thickBot="1">
      <c r="A80" s="617" t="s">
        <v>145</v>
      </c>
      <c r="B80" s="618"/>
      <c r="C80" s="618"/>
      <c r="D80" s="618"/>
      <c r="E80" s="618"/>
      <c r="F80" s="619"/>
      <c r="G80" s="89"/>
      <c r="H80" s="617" t="s">
        <v>146</v>
      </c>
      <c r="I80" s="618"/>
      <c r="J80" s="618"/>
      <c r="K80" s="618"/>
      <c r="L80" s="618"/>
      <c r="M80" s="618"/>
      <c r="N80" s="618"/>
      <c r="O80" s="619"/>
      <c r="P80" s="89"/>
      <c r="Q80" s="89"/>
      <c r="R80" s="89"/>
      <c r="S80" s="89"/>
      <c r="T80" s="89"/>
      <c r="U80" s="89"/>
      <c r="V80" s="89"/>
    </row>
    <row r="81" spans="1:22" s="15" customFormat="1" ht="41.85" customHeight="1">
      <c r="A81" s="193" t="s">
        <v>136</v>
      </c>
      <c r="B81" s="192" t="s">
        <v>147</v>
      </c>
      <c r="C81" s="222" t="s">
        <v>148</v>
      </c>
      <c r="D81" s="223" t="s">
        <v>149</v>
      </c>
      <c r="E81" s="224" t="s">
        <v>150</v>
      </c>
      <c r="F81" s="194" t="s">
        <v>151</v>
      </c>
      <c r="G81" s="89"/>
      <c r="H81" s="195" t="s">
        <v>58</v>
      </c>
      <c r="I81" s="196" t="s">
        <v>152</v>
      </c>
      <c r="J81" s="196" t="s">
        <v>153</v>
      </c>
      <c r="K81" s="197" t="s">
        <v>154</v>
      </c>
      <c r="L81" s="197" t="s">
        <v>155</v>
      </c>
      <c r="M81" s="198" t="s">
        <v>156</v>
      </c>
      <c r="N81" s="199" t="s">
        <v>157</v>
      </c>
      <c r="O81" s="200" t="s">
        <v>740</v>
      </c>
      <c r="P81" s="250"/>
      <c r="Q81" s="250"/>
      <c r="R81" s="250"/>
      <c r="S81" s="250"/>
      <c r="T81" s="250"/>
      <c r="U81" s="250"/>
      <c r="V81" s="250"/>
    </row>
    <row r="82" spans="1:22" ht="16.5" customHeight="1">
      <c r="A82" s="567" t="s">
        <v>741</v>
      </c>
      <c r="B82" s="568" t="s">
        <v>742</v>
      </c>
      <c r="C82" s="570" t="s">
        <v>743</v>
      </c>
      <c r="D82" s="570" t="s">
        <v>744</v>
      </c>
      <c r="E82" s="572" t="s">
        <v>745</v>
      </c>
      <c r="F82" s="620" t="s">
        <v>707</v>
      </c>
      <c r="G82" s="89"/>
      <c r="H82" s="565" t="s">
        <v>637</v>
      </c>
      <c r="I82" s="621" t="s">
        <v>638</v>
      </c>
      <c r="J82" s="621" t="s">
        <v>639</v>
      </c>
      <c r="K82" s="621" t="s">
        <v>640</v>
      </c>
      <c r="L82" s="621" t="s">
        <v>641</v>
      </c>
      <c r="M82" s="622" t="s">
        <v>338</v>
      </c>
      <c r="N82" s="623" t="s">
        <v>707</v>
      </c>
      <c r="O82" s="624" t="s">
        <v>707</v>
      </c>
      <c r="P82" s="89"/>
      <c r="Q82" s="89"/>
      <c r="R82" s="89"/>
      <c r="S82" s="89"/>
      <c r="T82" s="89"/>
      <c r="U82" s="89"/>
      <c r="V82" s="89"/>
    </row>
    <row r="83" spans="1:22" ht="18" customHeight="1">
      <c r="A83" s="566"/>
      <c r="B83" s="569"/>
      <c r="C83" s="571"/>
      <c r="D83" s="571"/>
      <c r="E83" s="571"/>
      <c r="F83" s="625"/>
      <c r="G83" s="89"/>
      <c r="H83" s="566"/>
      <c r="I83" s="626"/>
      <c r="J83" s="626"/>
      <c r="K83" s="626"/>
      <c r="L83" s="626"/>
      <c r="M83" s="627"/>
      <c r="N83" s="628"/>
      <c r="O83" s="629"/>
      <c r="P83" s="89"/>
      <c r="Q83" s="89"/>
      <c r="R83" s="89"/>
      <c r="S83" s="89"/>
      <c r="T83" s="89"/>
      <c r="U83" s="89"/>
      <c r="V83" s="89"/>
    </row>
    <row r="84" spans="1:22" ht="17.100000000000001" customHeight="1">
      <c r="A84" s="559" t="s">
        <v>707</v>
      </c>
      <c r="B84" s="561" t="s">
        <v>707</v>
      </c>
      <c r="C84" s="563" t="s">
        <v>707</v>
      </c>
      <c r="D84" s="563" t="s">
        <v>707</v>
      </c>
      <c r="E84" s="563" t="s">
        <v>707</v>
      </c>
      <c r="F84" s="620" t="s">
        <v>707</v>
      </c>
      <c r="G84" s="89"/>
      <c r="H84" s="559" t="s">
        <v>707</v>
      </c>
      <c r="I84" s="623" t="s">
        <v>707</v>
      </c>
      <c r="J84" s="623" t="s">
        <v>707</v>
      </c>
      <c r="K84" s="623" t="s">
        <v>707</v>
      </c>
      <c r="L84" s="623" t="s">
        <v>707</v>
      </c>
      <c r="M84" s="623" t="s">
        <v>707</v>
      </c>
      <c r="N84" s="623" t="s">
        <v>707</v>
      </c>
      <c r="O84" s="624" t="s">
        <v>707</v>
      </c>
      <c r="P84" s="89"/>
      <c r="Q84" s="89"/>
      <c r="R84" s="89"/>
      <c r="S84" s="89"/>
      <c r="T84" s="89"/>
      <c r="U84" s="89"/>
      <c r="V84" s="89"/>
    </row>
    <row r="85" spans="1:22" ht="17.100000000000001" customHeight="1">
      <c r="A85" s="560"/>
      <c r="B85" s="562"/>
      <c r="C85" s="564"/>
      <c r="D85" s="564"/>
      <c r="E85" s="564"/>
      <c r="F85" s="625"/>
      <c r="G85" s="89"/>
      <c r="H85" s="560"/>
      <c r="I85" s="628"/>
      <c r="J85" s="628"/>
      <c r="K85" s="628"/>
      <c r="L85" s="628"/>
      <c r="M85" s="628"/>
      <c r="N85" s="628"/>
      <c r="O85" s="629"/>
      <c r="P85" s="89"/>
      <c r="Q85" s="89"/>
      <c r="R85" s="89"/>
      <c r="S85" s="89"/>
      <c r="T85" s="89"/>
      <c r="U85" s="89"/>
      <c r="V85" s="89"/>
    </row>
    <row r="86" spans="1:22" ht="17.100000000000001" customHeight="1">
      <c r="A86" s="559" t="s">
        <v>707</v>
      </c>
      <c r="B86" s="561" t="s">
        <v>707</v>
      </c>
      <c r="C86" s="563" t="s">
        <v>707</v>
      </c>
      <c r="D86" s="563" t="s">
        <v>707</v>
      </c>
      <c r="E86" s="563" t="s">
        <v>707</v>
      </c>
      <c r="F86" s="620" t="s">
        <v>707</v>
      </c>
      <c r="G86" s="89"/>
      <c r="H86" s="559" t="s">
        <v>707</v>
      </c>
      <c r="I86" s="623" t="s">
        <v>707</v>
      </c>
      <c r="J86" s="623" t="s">
        <v>707</v>
      </c>
      <c r="K86" s="623" t="s">
        <v>707</v>
      </c>
      <c r="L86" s="623" t="s">
        <v>707</v>
      </c>
      <c r="M86" s="623" t="s">
        <v>707</v>
      </c>
      <c r="N86" s="623" t="s">
        <v>707</v>
      </c>
      <c r="O86" s="624" t="s">
        <v>707</v>
      </c>
      <c r="P86" s="89"/>
      <c r="Q86" s="89"/>
      <c r="R86" s="89"/>
      <c r="S86" s="89"/>
      <c r="T86" s="89"/>
      <c r="U86" s="89"/>
      <c r="V86" s="89"/>
    </row>
    <row r="87" spans="1:22" ht="16.5" customHeight="1">
      <c r="A87" s="560"/>
      <c r="B87" s="562"/>
      <c r="C87" s="564"/>
      <c r="D87" s="564"/>
      <c r="E87" s="564"/>
      <c r="F87" s="625"/>
      <c r="G87" s="89"/>
      <c r="H87" s="560"/>
      <c r="I87" s="628"/>
      <c r="J87" s="628"/>
      <c r="K87" s="628"/>
      <c r="L87" s="628"/>
      <c r="M87" s="628"/>
      <c r="N87" s="628"/>
      <c r="O87" s="629"/>
      <c r="P87" s="89"/>
      <c r="Q87" s="89"/>
      <c r="R87" s="89"/>
      <c r="S87" s="89"/>
      <c r="T87" s="89"/>
      <c r="U87" s="89"/>
      <c r="V87" s="89"/>
    </row>
    <row r="88" spans="1:22" ht="16.5" customHeight="1">
      <c r="A88" s="559" t="s">
        <v>707</v>
      </c>
      <c r="B88" s="561" t="s">
        <v>707</v>
      </c>
      <c r="C88" s="563" t="s">
        <v>707</v>
      </c>
      <c r="D88" s="563" t="s">
        <v>707</v>
      </c>
      <c r="E88" s="563" t="s">
        <v>707</v>
      </c>
      <c r="F88" s="620" t="s">
        <v>707</v>
      </c>
      <c r="G88" s="89"/>
      <c r="H88" s="559" t="s">
        <v>707</v>
      </c>
      <c r="I88" s="623" t="s">
        <v>707</v>
      </c>
      <c r="J88" s="623" t="s">
        <v>707</v>
      </c>
      <c r="K88" s="623" t="s">
        <v>707</v>
      </c>
      <c r="L88" s="623" t="s">
        <v>707</v>
      </c>
      <c r="M88" s="623" t="s">
        <v>707</v>
      </c>
      <c r="N88" s="623" t="s">
        <v>707</v>
      </c>
      <c r="O88" s="624" t="s">
        <v>707</v>
      </c>
      <c r="P88" s="89"/>
      <c r="Q88" s="89"/>
      <c r="R88" s="89"/>
      <c r="S88" s="89"/>
      <c r="T88" s="89"/>
      <c r="U88" s="89"/>
      <c r="V88" s="89"/>
    </row>
    <row r="89" spans="1:22" ht="16.5" customHeight="1">
      <c r="A89" s="560"/>
      <c r="B89" s="562"/>
      <c r="C89" s="564"/>
      <c r="D89" s="564"/>
      <c r="E89" s="564"/>
      <c r="F89" s="625"/>
      <c r="G89" s="89"/>
      <c r="H89" s="560"/>
      <c r="I89" s="628"/>
      <c r="J89" s="628"/>
      <c r="K89" s="628"/>
      <c r="L89" s="628"/>
      <c r="M89" s="628"/>
      <c r="N89" s="628"/>
      <c r="O89" s="629"/>
      <c r="P89" s="89"/>
      <c r="Q89" s="89"/>
      <c r="R89" s="89"/>
      <c r="S89" s="89"/>
      <c r="T89" s="89"/>
      <c r="U89" s="89"/>
      <c r="V89" s="89"/>
    </row>
    <row r="90" spans="1:22" ht="16.5" customHeight="1">
      <c r="A90" s="559" t="s">
        <v>707</v>
      </c>
      <c r="B90" s="561" t="s">
        <v>707</v>
      </c>
      <c r="C90" s="563" t="s">
        <v>707</v>
      </c>
      <c r="D90" s="563" t="s">
        <v>707</v>
      </c>
      <c r="E90" s="563" t="s">
        <v>707</v>
      </c>
      <c r="F90" s="620" t="s">
        <v>707</v>
      </c>
      <c r="G90" s="89"/>
      <c r="H90" s="559" t="s">
        <v>707</v>
      </c>
      <c r="I90" s="623" t="s">
        <v>707</v>
      </c>
      <c r="J90" s="623" t="s">
        <v>707</v>
      </c>
      <c r="K90" s="623" t="s">
        <v>707</v>
      </c>
      <c r="L90" s="623" t="s">
        <v>707</v>
      </c>
      <c r="M90" s="623" t="s">
        <v>707</v>
      </c>
      <c r="N90" s="623" t="s">
        <v>707</v>
      </c>
      <c r="O90" s="624" t="s">
        <v>707</v>
      </c>
      <c r="P90" s="89"/>
      <c r="Q90" s="89"/>
      <c r="R90" s="89"/>
      <c r="S90" s="89"/>
      <c r="T90" s="89"/>
      <c r="U90" s="89"/>
      <c r="V90" s="89"/>
    </row>
    <row r="91" spans="1:22" ht="16.5" customHeight="1">
      <c r="A91" s="560"/>
      <c r="B91" s="562"/>
      <c r="C91" s="564"/>
      <c r="D91" s="564"/>
      <c r="E91" s="564"/>
      <c r="F91" s="625"/>
      <c r="G91" s="89"/>
      <c r="H91" s="560"/>
      <c r="I91" s="628"/>
      <c r="J91" s="628"/>
      <c r="K91" s="628"/>
      <c r="L91" s="628"/>
      <c r="M91" s="628"/>
      <c r="N91" s="628"/>
      <c r="O91" s="629"/>
      <c r="P91" s="89"/>
      <c r="Q91" s="89"/>
      <c r="R91" s="89"/>
      <c r="S91" s="89"/>
      <c r="T91" s="89"/>
      <c r="U91" s="89"/>
      <c r="V91" s="89"/>
    </row>
    <row r="92" spans="1:22" ht="16.5" customHeight="1">
      <c r="A92" s="559" t="s">
        <v>707</v>
      </c>
      <c r="B92" s="561" t="s">
        <v>707</v>
      </c>
      <c r="C92" s="563" t="s">
        <v>707</v>
      </c>
      <c r="D92" s="563" t="s">
        <v>707</v>
      </c>
      <c r="E92" s="563" t="s">
        <v>707</v>
      </c>
      <c r="F92" s="620" t="s">
        <v>707</v>
      </c>
      <c r="G92" s="89"/>
      <c r="H92" s="559" t="s">
        <v>707</v>
      </c>
      <c r="I92" s="623" t="s">
        <v>707</v>
      </c>
      <c r="J92" s="623" t="s">
        <v>707</v>
      </c>
      <c r="K92" s="623" t="s">
        <v>707</v>
      </c>
      <c r="L92" s="623" t="s">
        <v>707</v>
      </c>
      <c r="M92" s="623" t="s">
        <v>707</v>
      </c>
      <c r="N92" s="623" t="s">
        <v>707</v>
      </c>
      <c r="O92" s="624" t="s">
        <v>707</v>
      </c>
      <c r="P92" s="89"/>
      <c r="Q92" s="89"/>
      <c r="R92" s="89"/>
      <c r="S92" s="89"/>
      <c r="T92" s="89"/>
      <c r="U92" s="89"/>
      <c r="V92" s="89"/>
    </row>
    <row r="93" spans="1:22" ht="17.100000000000001" customHeight="1">
      <c r="A93" s="560"/>
      <c r="B93" s="562"/>
      <c r="C93" s="564"/>
      <c r="D93" s="564"/>
      <c r="E93" s="564"/>
      <c r="F93" s="620"/>
      <c r="H93" s="560"/>
      <c r="I93" s="628"/>
      <c r="J93" s="628"/>
      <c r="K93" s="628"/>
      <c r="L93" s="628"/>
      <c r="M93" s="628"/>
      <c r="N93" s="628"/>
      <c r="O93" s="629"/>
    </row>
    <row r="94" spans="1:22" ht="15" thickBot="1">
      <c r="B94"/>
      <c r="F94" s="625"/>
      <c r="G94" s="89"/>
      <c r="H94" s="560"/>
      <c r="I94" s="628"/>
      <c r="J94" s="628"/>
      <c r="K94" s="628"/>
      <c r="L94" s="628"/>
      <c r="M94" s="628"/>
      <c r="N94" s="628"/>
      <c r="O94" s="629"/>
      <c r="P94" s="89"/>
      <c r="Q94" s="89"/>
      <c r="R94" s="89"/>
      <c r="S94" s="89"/>
      <c r="T94" s="89"/>
      <c r="U94" s="89"/>
      <c r="V94" s="89"/>
    </row>
    <row r="95" spans="1:22">
      <c r="A95" s="251" t="s">
        <v>195</v>
      </c>
      <c r="B95" s="251" t="s">
        <v>196</v>
      </c>
      <c r="C95" s="252" t="s">
        <v>197</v>
      </c>
      <c r="D95" s="252" t="s">
        <v>198</v>
      </c>
      <c r="E95" s="630" t="s">
        <v>199</v>
      </c>
      <c r="F95" s="631"/>
      <c r="G95" s="89"/>
      <c r="H95" s="89"/>
      <c r="I95" s="89"/>
      <c r="J95" s="89"/>
      <c r="K95" s="89"/>
      <c r="L95" s="89"/>
      <c r="M95" s="89"/>
      <c r="N95" s="89"/>
      <c r="O95" s="89"/>
      <c r="P95" s="89"/>
      <c r="Q95" s="89"/>
      <c r="R95" s="89"/>
      <c r="S95" s="89"/>
      <c r="T95" s="89"/>
      <c r="U95" s="89"/>
      <c r="V95" s="89"/>
    </row>
    <row r="96" spans="1:22">
      <c r="A96" s="89"/>
      <c r="B96" s="89"/>
      <c r="C96" s="225"/>
      <c r="D96" s="225"/>
      <c r="E96" s="225"/>
      <c r="F96" s="89"/>
      <c r="G96" s="89"/>
      <c r="H96" s="89"/>
      <c r="I96" s="632"/>
      <c r="J96" s="89"/>
      <c r="K96" s="89"/>
      <c r="L96" s="89"/>
      <c r="M96" s="89"/>
      <c r="N96" s="89"/>
      <c r="O96" s="89"/>
      <c r="P96" s="89"/>
      <c r="Q96" s="89"/>
      <c r="R96" s="89"/>
      <c r="S96" s="89"/>
      <c r="T96" s="89"/>
      <c r="U96" s="89"/>
      <c r="V96" s="89"/>
    </row>
    <row r="97" spans="1:22">
      <c r="A97" s="89"/>
      <c r="B97" s="89"/>
      <c r="C97" s="225"/>
      <c r="D97" s="225"/>
      <c r="E97" s="225"/>
      <c r="F97" s="89"/>
      <c r="G97" s="89"/>
      <c r="H97" s="89"/>
      <c r="I97" s="632"/>
      <c r="J97" s="89"/>
      <c r="K97" s="89"/>
      <c r="L97" s="89"/>
      <c r="M97" s="89"/>
      <c r="N97" s="89"/>
      <c r="O97" s="89"/>
      <c r="P97" s="89"/>
      <c r="Q97" s="89"/>
      <c r="R97" s="89"/>
      <c r="S97" s="89"/>
      <c r="T97" s="89"/>
      <c r="U97" s="89"/>
      <c r="V97" s="89"/>
    </row>
    <row r="98" spans="1:22">
      <c r="A98" s="89"/>
      <c r="B98" s="89"/>
      <c r="C98" s="225"/>
      <c r="D98" s="225"/>
      <c r="E98" s="225"/>
      <c r="F98" s="89"/>
      <c r="G98" s="89"/>
      <c r="H98" s="89"/>
      <c r="I98" s="632"/>
      <c r="J98" s="89"/>
      <c r="K98" s="89"/>
      <c r="L98" s="89"/>
      <c r="M98" s="89"/>
      <c r="N98" s="89"/>
      <c r="O98" s="89"/>
      <c r="P98" s="89"/>
      <c r="Q98" s="89"/>
      <c r="R98" s="89"/>
      <c r="S98" s="89"/>
      <c r="T98" s="89"/>
      <c r="U98" s="89"/>
      <c r="V98" s="89"/>
    </row>
    <row r="99" spans="1:22">
      <c r="A99" s="89"/>
      <c r="B99" s="89"/>
      <c r="C99" s="225"/>
      <c r="D99" s="225"/>
      <c r="E99" s="225"/>
      <c r="F99" s="89"/>
      <c r="G99" s="89"/>
      <c r="H99" s="89"/>
      <c r="I99" s="632"/>
      <c r="J99" s="89"/>
      <c r="K99" s="89"/>
      <c r="L99" s="89"/>
      <c r="M99" s="89"/>
      <c r="N99" s="89"/>
      <c r="O99" s="89"/>
      <c r="P99" s="89"/>
      <c r="Q99" s="89"/>
      <c r="R99" s="89"/>
      <c r="S99" s="89"/>
      <c r="T99" s="89"/>
      <c r="U99" s="89"/>
      <c r="V99" s="89"/>
    </row>
    <row r="100" spans="1:22">
      <c r="A100" s="89"/>
      <c r="B100" s="89"/>
      <c r="C100" s="225"/>
      <c r="D100" s="225"/>
      <c r="E100" s="225"/>
      <c r="F100" s="89"/>
      <c r="G100" s="89"/>
      <c r="H100" s="89"/>
      <c r="I100" s="89"/>
      <c r="J100" s="89"/>
      <c r="K100" s="89"/>
      <c r="L100" s="89"/>
      <c r="M100" s="89"/>
      <c r="N100" s="89"/>
      <c r="O100" s="89"/>
      <c r="P100" s="89"/>
      <c r="Q100" s="89"/>
      <c r="R100" s="89"/>
      <c r="S100" s="89"/>
      <c r="T100" s="89"/>
      <c r="U100" s="89"/>
      <c r="V100" s="89"/>
    </row>
  </sheetData>
  <mergeCells count="149">
    <mergeCell ref="I96:I99"/>
    <mergeCell ref="E95:F95"/>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A42:E42"/>
    <mergeCell ref="A44:B44"/>
    <mergeCell ref="A45:A46"/>
    <mergeCell ref="B45:F45"/>
    <mergeCell ref="A80:F80"/>
    <mergeCell ref="H80:O80"/>
    <mergeCell ref="G20:G21"/>
    <mergeCell ref="A22:A23"/>
    <mergeCell ref="B22:B23"/>
    <mergeCell ref="C22:C23"/>
    <mergeCell ref="D22:D23"/>
    <mergeCell ref="E22:E23"/>
    <mergeCell ref="F22:F23"/>
    <mergeCell ref="G22:G23"/>
    <mergeCell ref="A20:A21"/>
    <mergeCell ref="B20:B21"/>
    <mergeCell ref="C20:C21"/>
    <mergeCell ref="D20:D21"/>
    <mergeCell ref="E20:E21"/>
    <mergeCell ref="F20:F21"/>
    <mergeCell ref="O84:O85"/>
    <mergeCell ref="N82:N83"/>
    <mergeCell ref="O82:O83"/>
    <mergeCell ref="A84:A85"/>
    <mergeCell ref="B84:B85"/>
    <mergeCell ref="C84:C85"/>
    <mergeCell ref="D84:D85"/>
    <mergeCell ref="E84:E85"/>
    <mergeCell ref="F84:F85"/>
    <mergeCell ref="H84:H85"/>
    <mergeCell ref="I84:I85"/>
    <mergeCell ref="H82:H83"/>
    <mergeCell ref="I82:I83"/>
    <mergeCell ref="J82:J83"/>
    <mergeCell ref="K82:K83"/>
    <mergeCell ref="L82:L83"/>
    <mergeCell ref="M82:M83"/>
    <mergeCell ref="A82:A83"/>
    <mergeCell ref="B82:B83"/>
    <mergeCell ref="C82:C83"/>
    <mergeCell ref="D82:D83"/>
    <mergeCell ref="E82:E83"/>
    <mergeCell ref="F82:F83"/>
    <mergeCell ref="C86:C87"/>
    <mergeCell ref="D86:D87"/>
    <mergeCell ref="E86:E87"/>
    <mergeCell ref="F86:F87"/>
    <mergeCell ref="J84:J85"/>
    <mergeCell ref="K84:K85"/>
    <mergeCell ref="L84:L85"/>
    <mergeCell ref="M84:M85"/>
    <mergeCell ref="N84:N85"/>
    <mergeCell ref="J88:J89"/>
    <mergeCell ref="K88:K89"/>
    <mergeCell ref="L88:L89"/>
    <mergeCell ref="M88:M89"/>
    <mergeCell ref="N88:N89"/>
    <mergeCell ref="O88:O89"/>
    <mergeCell ref="N86:N87"/>
    <mergeCell ref="O86:O87"/>
    <mergeCell ref="A88:A89"/>
    <mergeCell ref="B88:B89"/>
    <mergeCell ref="C88:C89"/>
    <mergeCell ref="D88:D89"/>
    <mergeCell ref="E88:E89"/>
    <mergeCell ref="F88:F89"/>
    <mergeCell ref="H88:H89"/>
    <mergeCell ref="I88:I89"/>
    <mergeCell ref="H86:H87"/>
    <mergeCell ref="I86:I87"/>
    <mergeCell ref="J86:J87"/>
    <mergeCell ref="K86:K87"/>
    <mergeCell ref="L86:L87"/>
    <mergeCell ref="M86:M87"/>
    <mergeCell ref="A86:A87"/>
    <mergeCell ref="B86:B87"/>
    <mergeCell ref="A92:A93"/>
    <mergeCell ref="B92:B93"/>
    <mergeCell ref="C92:C93"/>
    <mergeCell ref="D92:D93"/>
    <mergeCell ref="E92:E93"/>
    <mergeCell ref="H90:H91"/>
    <mergeCell ref="I90:I91"/>
    <mergeCell ref="A90:A91"/>
    <mergeCell ref="B90:B91"/>
    <mergeCell ref="C90:C91"/>
    <mergeCell ref="D90:D91"/>
    <mergeCell ref="E90:E91"/>
    <mergeCell ref="F90:F91"/>
    <mergeCell ref="F92:F94"/>
    <mergeCell ref="H92:H94"/>
    <mergeCell ref="I92:I94"/>
    <mergeCell ref="N90:N91"/>
    <mergeCell ref="O90:O91"/>
    <mergeCell ref="J90:J91"/>
    <mergeCell ref="K90:K91"/>
    <mergeCell ref="L90:L91"/>
    <mergeCell ref="M90:M91"/>
    <mergeCell ref="J92:J94"/>
    <mergeCell ref="K92:K94"/>
    <mergeCell ref="L92:L94"/>
    <mergeCell ref="M92:M94"/>
    <mergeCell ref="N92:N94"/>
    <mergeCell ref="O92:O94"/>
  </mergeCells>
  <conditionalFormatting sqref="I7:T7">
    <cfRule type="containsBlanks" dxfId="155" priority="11">
      <formula>LEN(TRIM(I7))=0</formula>
    </cfRule>
    <cfRule type="expression" dxfId="154" priority="12">
      <formula>AND(OR($F6="Lower the better", $F6="Lower the Better"), I7&gt;I6)</formula>
    </cfRule>
    <cfRule type="expression" dxfId="153" priority="13">
      <formula>AND(OR($F6="Lower the better", $F6="Lower the Better"), I7&lt;=I6)</formula>
    </cfRule>
    <cfRule type="expression" dxfId="152" priority="14">
      <formula>AND(OR($F6="Higher the better", $F6="Higher the Better"), I7&lt;I6)</formula>
    </cfRule>
    <cfRule type="expression" dxfId="151" priority="15" stopIfTrue="1">
      <formula>AND(OR($F6="Higher the better", $F6="Higher the Better"), I7&gt;=I6)</formula>
    </cfRule>
  </conditionalFormatting>
  <conditionalFormatting sqref="I9:T9">
    <cfRule type="containsBlanks" dxfId="150" priority="6">
      <formula>LEN(TRIM(I9))=0</formula>
    </cfRule>
    <cfRule type="expression" dxfId="149" priority="7">
      <formula>AND(OR($F8="Lower the better", $F8="Lower the Better"), I9&gt;I8)</formula>
    </cfRule>
    <cfRule type="expression" dxfId="148" priority="8">
      <formula>AND(OR($F8="Lower the better", $F8="Lower the Better"), I9&lt;=I8)</formula>
    </cfRule>
    <cfRule type="expression" dxfId="147" priority="9">
      <formula>AND(OR($F8="Higher the better", $F8="Higher the Better"), I9&lt;I8)</formula>
    </cfRule>
    <cfRule type="expression" dxfId="146" priority="10" stopIfTrue="1">
      <formula>AND(OR($F8="Higher the better", $F8="Higher the Better"), I9&gt;=I8)</formula>
    </cfRule>
  </conditionalFormatting>
  <conditionalFormatting sqref="I11:T11">
    <cfRule type="containsBlanks" dxfId="145" priority="1">
      <formula>LEN(TRIM(I11))=0</formula>
    </cfRule>
    <cfRule type="expression" dxfId="144" priority="2">
      <formula>AND(OR($F10="Lower the better", $F10="Lower the Better"), I11&gt;I10)</formula>
    </cfRule>
    <cfRule type="expression" dxfId="143" priority="3">
      <formula>AND(OR($F10="Lower the better", $F10="Lower the Better"), I11&lt;=I10)</formula>
    </cfRule>
    <cfRule type="expression" dxfId="142" priority="4">
      <formula>AND(OR($F10="Higher the better", $F10="Higher the Better"), I11&lt;I10)</formula>
    </cfRule>
    <cfRule type="expression" dxfId="141" priority="5" stopIfTrue="1">
      <formula>AND(OR($F10="Higher the better", $F10="Higher the Better"), I11&gt;=I10)</formula>
    </cfRule>
  </conditionalFormatting>
  <conditionalFormatting sqref="I15:T15">
    <cfRule type="expression" dxfId="140" priority="40" stopIfTrue="1">
      <formula>AND(OR($F14="Higher the better", $F14="Higher the Better"), I15&gt;=I14)</formula>
    </cfRule>
    <cfRule type="containsBlanks" dxfId="139" priority="36">
      <formula>LEN(TRIM(I15))=0</formula>
    </cfRule>
    <cfRule type="expression" dxfId="138" priority="37">
      <formula>AND(OR($F14="Lower the better", $F14="Lower the Better"), I15&gt;I14)</formula>
    </cfRule>
    <cfRule type="expression" dxfId="137" priority="38">
      <formula>AND(OR($F14="Lower the better", $F14="Lower the Better"), I15&lt;=I14)</formula>
    </cfRule>
    <cfRule type="expression" dxfId="136" priority="39">
      <formula>AND(OR($F14="Higher the better", $F14="Higher the Better"), I15&lt;I14)</formula>
    </cfRule>
  </conditionalFormatting>
  <conditionalFormatting sqref="I17:T17">
    <cfRule type="containsBlanks" dxfId="135" priority="31">
      <formula>LEN(TRIM(I17))=0</formula>
    </cfRule>
    <cfRule type="expression" dxfId="134" priority="32">
      <formula>AND(OR($F16="Lower the better", $F16="Lower the Better"), I17&gt;I16)</formula>
    </cfRule>
    <cfRule type="expression" dxfId="133" priority="33">
      <formula>AND(OR($F16="Lower the better", $F16="Lower the Better"), I17&lt;=I16)</formula>
    </cfRule>
    <cfRule type="expression" dxfId="132" priority="34">
      <formula>AND(OR($F16="Higher the better", $F16="Higher the Better"), I17&lt;I16)</formula>
    </cfRule>
    <cfRule type="expression" dxfId="131" priority="35" stopIfTrue="1">
      <formula>AND(OR($F16="Higher the better", $F16="Higher the Better"), I17&gt;=I16)</formula>
    </cfRule>
  </conditionalFormatting>
  <conditionalFormatting sqref="I19:T19">
    <cfRule type="containsBlanks" dxfId="130" priority="26">
      <formula>LEN(TRIM(I19))=0</formula>
    </cfRule>
    <cfRule type="expression" dxfId="129" priority="27">
      <formula>AND(OR($F18="Lower the better", $F18="Lower the Better"), I19&gt;I18)</formula>
    </cfRule>
    <cfRule type="expression" dxfId="128" priority="28">
      <formula>AND(OR($F18="Lower the better", $F18="Lower the Better"), I19&lt;=I18)</formula>
    </cfRule>
    <cfRule type="expression" dxfId="127" priority="29">
      <formula>AND(OR($F18="Higher the better", $F18="Higher the Better"), I19&lt;I18)</formula>
    </cfRule>
    <cfRule type="expression" dxfId="126" priority="30" stopIfTrue="1">
      <formula>AND(OR($F18="Higher the better", $F18="Higher the Better"), I19&gt;=I18)</formula>
    </cfRule>
  </conditionalFormatting>
  <conditionalFormatting sqref="I21:T21">
    <cfRule type="expression" dxfId="125" priority="22">
      <formula>AND(OR($F20="Lower the better", $F20="Lower the Better"), I21&gt;I20)</formula>
    </cfRule>
    <cfRule type="expression" dxfId="124" priority="23">
      <formula>AND(OR($F20="Lower the better", $F20="Lower the Better"), I21&lt;=I20)</formula>
    </cfRule>
    <cfRule type="expression" dxfId="123" priority="24">
      <formula>AND(OR($F20="Higher the better", $F20="Higher the Better"), I21&lt;I20)</formula>
    </cfRule>
    <cfRule type="expression" dxfId="122" priority="25" stopIfTrue="1">
      <formula>AND(OR($F20="Higher the better", $F20="Higher the Better"), I21&gt;=I20)</formula>
    </cfRule>
    <cfRule type="containsBlanks" dxfId="121" priority="21">
      <formula>LEN(TRIM(I21))=0</formula>
    </cfRule>
  </conditionalFormatting>
  <conditionalFormatting sqref="I23:T23">
    <cfRule type="containsBlanks" dxfId="120" priority="16">
      <formula>LEN(TRIM(I23))=0</formula>
    </cfRule>
    <cfRule type="expression" dxfId="119" priority="17">
      <formula>AND(OR($F22="Lower the better", $F22="Lower the Better"), I23&gt;I22)</formula>
    </cfRule>
    <cfRule type="expression" dxfId="118" priority="18">
      <formula>AND(OR($F22="Lower the better", $F22="Lower the Better"), I23&lt;=I22)</formula>
    </cfRule>
    <cfRule type="expression" dxfId="117" priority="19">
      <formula>AND(OR($F22="Higher the better", $F22="Higher the Better"), I23&lt;I22)</formula>
    </cfRule>
    <cfRule type="expression" dxfId="116" priority="20" stopIfTrue="1">
      <formula>AND(OR($F22="Higher the better", $F22="Higher the Better"), I23&gt;=I22)</formula>
    </cfRule>
  </conditionalFormatting>
  <pageMargins left="0.7" right="0.7" top="0.75" bottom="0.75" header="0.3" footer="0.3"/>
  <pageSetup orientation="portrait" r:id="rId1"/>
  <customProperties>
    <customPr name="_pios_id" r:id="rId2"/>
  </customProperties>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6C958-143C-445D-A699-073804F57988}">
  <sheetPr codeName="Sheet11"/>
  <dimension ref="A1:AI104"/>
  <sheetViews>
    <sheetView zoomScale="82" zoomScaleNormal="80" workbookViewId="0">
      <selection activeCell="M3" sqref="M3"/>
    </sheetView>
  </sheetViews>
  <sheetFormatPr defaultRowHeight="14.45"/>
  <cols>
    <col min="1" max="1" width="20.42578125" customWidth="1"/>
    <col min="2" max="2" width="37.42578125" style="28" customWidth="1"/>
    <col min="3" max="3" width="20.42578125" customWidth="1"/>
    <col min="4" max="4" width="19.5703125" hidden="1" customWidth="1"/>
    <col min="5" max="5" width="20.5703125" hidden="1" customWidth="1"/>
    <col min="6" max="6" width="13.42578125" hidden="1" customWidth="1"/>
    <col min="7" max="7" width="9.5703125" hidden="1" customWidth="1"/>
    <col min="8" max="8" width="14.5703125" hidden="1"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3" width="11.42578125" hidden="1" customWidth="1"/>
    <col min="24" max="24" width="8.5703125" hidden="1" customWidth="1"/>
    <col min="25" max="25" width="14.42578125" hidden="1" customWidth="1"/>
    <col min="26" max="35" width="8.5703125" hidden="1" customWidth="1"/>
    <col min="36" max="48" width="8.5703125" customWidth="1"/>
    <col min="49" max="50" width="14.42578125" customWidth="1"/>
  </cols>
  <sheetData>
    <row r="1" spans="1:35" ht="19.350000000000001" customHeight="1">
      <c r="A1" s="12" t="s">
        <v>0</v>
      </c>
      <c r="B1" s="30">
        <v>46023</v>
      </c>
      <c r="C1" s="12" t="s">
        <v>88</v>
      </c>
      <c r="D1" s="12" t="s">
        <v>34</v>
      </c>
      <c r="E1" s="12" t="s">
        <v>89</v>
      </c>
      <c r="F1" s="12" t="s">
        <v>746</v>
      </c>
      <c r="W1" t="s">
        <v>90</v>
      </c>
      <c r="X1">
        <f t="shared" ref="X1:AI1" si="0">IF(I15&lt;&gt;"",IF($F14="Higher the better",IF(I15&gt;=I14,I15,NA()),IF(I15&lt;=I14,I15,NA())),NA())</f>
        <v>7.4</v>
      </c>
      <c r="Y1" t="e">
        <f t="shared" si="0"/>
        <v>#N/A</v>
      </c>
      <c r="Z1">
        <f t="shared" si="0"/>
        <v>10</v>
      </c>
      <c r="AA1">
        <f t="shared" si="0"/>
        <v>9.81</v>
      </c>
      <c r="AB1">
        <f t="shared" si="0"/>
        <v>12.3</v>
      </c>
      <c r="AC1" t="e">
        <f t="shared" si="0"/>
        <v>#N/A</v>
      </c>
      <c r="AD1">
        <f t="shared" si="0"/>
        <v>9.8000000000000007</v>
      </c>
      <c r="AE1" t="e">
        <f t="shared" si="0"/>
        <v>#N/A</v>
      </c>
      <c r="AF1" t="e">
        <f t="shared" si="0"/>
        <v>#N/A</v>
      </c>
      <c r="AG1" t="e">
        <f t="shared" si="0"/>
        <v>#N/A</v>
      </c>
      <c r="AH1" t="e">
        <f t="shared" si="0"/>
        <v>#N/A</v>
      </c>
      <c r="AI1" t="e">
        <f t="shared" si="0"/>
        <v>#N/A</v>
      </c>
    </row>
    <row r="2" spans="1:35" ht="19.350000000000001" customHeight="1">
      <c r="A2" s="13"/>
      <c r="B2" s="37"/>
      <c r="D2" s="13"/>
      <c r="E2" s="13"/>
      <c r="W2" t="s">
        <v>91</v>
      </c>
      <c r="X2" t="e">
        <f t="shared" ref="X2:AI2" si="1">IF(I15&lt;&gt;"",IF($F14="Higher the better",IF(I15&lt;I14,I15,NA()),IF(I15&gt;I14,I15,NA())),NA())</f>
        <v>#N/A</v>
      </c>
      <c r="Y2">
        <f t="shared" si="1"/>
        <v>7.1</v>
      </c>
      <c r="Z2" t="e">
        <f t="shared" si="1"/>
        <v>#N/A</v>
      </c>
      <c r="AA2" t="e">
        <f t="shared" si="1"/>
        <v>#N/A</v>
      </c>
      <c r="AB2" t="e">
        <f t="shared" si="1"/>
        <v>#N/A</v>
      </c>
      <c r="AC2">
        <f t="shared" si="1"/>
        <v>7.7</v>
      </c>
      <c r="AD2" t="e">
        <f t="shared" si="1"/>
        <v>#N/A</v>
      </c>
      <c r="AE2">
        <f t="shared" si="1"/>
        <v>5.2</v>
      </c>
      <c r="AF2" t="e">
        <f t="shared" si="1"/>
        <v>#N/A</v>
      </c>
      <c r="AG2" t="e">
        <f t="shared" si="1"/>
        <v>#N/A</v>
      </c>
      <c r="AH2" t="e">
        <f t="shared" si="1"/>
        <v>#N/A</v>
      </c>
      <c r="AI2" t="e">
        <f t="shared" si="1"/>
        <v>#N/A</v>
      </c>
    </row>
    <row r="3" spans="1:35" ht="20.100000000000001" customHeight="1">
      <c r="A3" s="347" t="s">
        <v>708</v>
      </c>
      <c r="B3" s="347"/>
      <c r="W3" t="s">
        <v>90</v>
      </c>
      <c r="X3">
        <f t="shared" ref="X3:AI3" si="2">IF(I17&lt;&gt;"",IF($F16="Higher the better",IF(I17&gt;=I16,I17,NA()),IF(I17&lt;=I16,I17,NA())),NA())</f>
        <v>10</v>
      </c>
      <c r="Y3">
        <f t="shared" si="2"/>
        <v>9</v>
      </c>
      <c r="Z3" t="e">
        <f t="shared" si="2"/>
        <v>#N/A</v>
      </c>
      <c r="AA3" t="e">
        <f t="shared" si="2"/>
        <v>#N/A</v>
      </c>
      <c r="AB3" t="e">
        <f t="shared" si="2"/>
        <v>#N/A</v>
      </c>
      <c r="AC3" t="e">
        <f t="shared" si="2"/>
        <v>#N/A</v>
      </c>
      <c r="AD3">
        <f t="shared" si="2"/>
        <v>10</v>
      </c>
      <c r="AE3" t="e">
        <f t="shared" si="2"/>
        <v>#N/A</v>
      </c>
      <c r="AF3" t="e">
        <f t="shared" si="2"/>
        <v>#N/A</v>
      </c>
      <c r="AG3" t="e">
        <f t="shared" si="2"/>
        <v>#N/A</v>
      </c>
      <c r="AH3" t="e">
        <f t="shared" si="2"/>
        <v>#N/A</v>
      </c>
      <c r="AI3" t="e">
        <f t="shared" si="2"/>
        <v>#N/A</v>
      </c>
    </row>
    <row r="4" spans="1:35" ht="18.600000000000001" customHeight="1">
      <c r="A4" s="11" t="s">
        <v>93</v>
      </c>
      <c r="B4" s="11"/>
      <c r="W4" t="s">
        <v>91</v>
      </c>
      <c r="X4" t="e">
        <f t="shared" ref="X4:AI4" si="3">IF(I17&lt;&gt;"",IF($F16="Higher the better",IF(I17&lt;I16,I17,NA()),IF(I17&gt;I16,I17,NA())),NA())</f>
        <v>#N/A</v>
      </c>
      <c r="Y4" t="e">
        <f t="shared" si="3"/>
        <v>#N/A</v>
      </c>
      <c r="Z4">
        <f t="shared" si="3"/>
        <v>6</v>
      </c>
      <c r="AA4">
        <f t="shared" si="3"/>
        <v>7.5</v>
      </c>
      <c r="AB4">
        <f t="shared" si="3"/>
        <v>8</v>
      </c>
      <c r="AC4">
        <f t="shared" si="3"/>
        <v>11</v>
      </c>
      <c r="AD4" t="e">
        <f t="shared" si="3"/>
        <v>#N/A</v>
      </c>
      <c r="AE4" t="e">
        <f t="shared" si="3"/>
        <v>#N/A</v>
      </c>
      <c r="AF4" t="e">
        <f t="shared" si="3"/>
        <v>#N/A</v>
      </c>
      <c r="AG4" t="e">
        <f t="shared" si="3"/>
        <v>#N/A</v>
      </c>
      <c r="AH4" t="e">
        <f t="shared" si="3"/>
        <v>#N/A</v>
      </c>
      <c r="AI4" t="e">
        <f t="shared" si="3"/>
        <v>#N/A</v>
      </c>
    </row>
    <row r="5" spans="1:35"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f t="shared" ref="X5:AI5" si="4">IF(I19&lt;&gt;"",IF($F18="Higher the better",IF(I19&gt;=I18,I19,NA()),IF(I19&lt;=I18,I19,NA())),NA())</f>
        <v>85.7</v>
      </c>
      <c r="Y5">
        <f t="shared" si="4"/>
        <v>61.5</v>
      </c>
      <c r="Z5">
        <f t="shared" si="4"/>
        <v>50</v>
      </c>
      <c r="AA5" t="e">
        <f t="shared" si="4"/>
        <v>#N/A</v>
      </c>
      <c r="AB5">
        <f t="shared" si="4"/>
        <v>85.7</v>
      </c>
      <c r="AC5" t="e">
        <f t="shared" si="4"/>
        <v>#N/A</v>
      </c>
      <c r="AD5">
        <f t="shared" si="4"/>
        <v>100</v>
      </c>
      <c r="AE5" t="e">
        <f t="shared" si="4"/>
        <v>#N/A</v>
      </c>
      <c r="AF5" t="e">
        <f t="shared" si="4"/>
        <v>#N/A</v>
      </c>
      <c r="AG5" t="e">
        <f t="shared" si="4"/>
        <v>#N/A</v>
      </c>
      <c r="AH5" t="e">
        <f t="shared" si="4"/>
        <v>#N/A</v>
      </c>
      <c r="AI5" t="e">
        <f t="shared" si="4"/>
        <v>#N/A</v>
      </c>
    </row>
    <row r="6" spans="1:35">
      <c r="A6" s="584" t="s">
        <v>709</v>
      </c>
      <c r="B6" s="350" t="s">
        <v>747</v>
      </c>
      <c r="C6" s="328" t="s">
        <v>120</v>
      </c>
      <c r="D6" s="363">
        <v>0.09</v>
      </c>
      <c r="E6" s="328" t="s">
        <v>54</v>
      </c>
      <c r="F6" s="336" t="s">
        <v>99</v>
      </c>
      <c r="G6" s="328" t="s">
        <v>593</v>
      </c>
      <c r="H6" s="14" t="s">
        <v>29</v>
      </c>
      <c r="I6" s="4">
        <v>7.0000000000000007E-2</v>
      </c>
      <c r="J6" s="4">
        <v>7.0000000000000007E-2</v>
      </c>
      <c r="K6" s="4">
        <v>7.0000000000000007E-2</v>
      </c>
      <c r="L6" s="4">
        <v>7.0000000000000007E-2</v>
      </c>
      <c r="M6" s="4">
        <v>7.0000000000000007E-2</v>
      </c>
      <c r="N6" s="4">
        <v>7.0000000000000007E-2</v>
      </c>
      <c r="O6" s="4">
        <v>7.0000000000000007E-2</v>
      </c>
      <c r="P6" s="4">
        <v>7.0000000000000007E-2</v>
      </c>
      <c r="Q6" s="4">
        <v>7.0000000000000007E-2</v>
      </c>
      <c r="R6" s="4">
        <v>7.0000000000000007E-2</v>
      </c>
      <c r="S6" s="4">
        <v>7.0000000000000007E-2</v>
      </c>
      <c r="T6" s="4">
        <v>7.0000000000000007E-2</v>
      </c>
      <c r="W6" t="s">
        <v>91</v>
      </c>
      <c r="X6" t="e">
        <f t="shared" ref="X6:AI6" si="5">IF(I19&lt;&gt;"",IF($F18="Higher the better",IF(I19&lt;I18,I19,NA()),IF(I19&gt;I18,I19,NA())),NA())</f>
        <v>#N/A</v>
      </c>
      <c r="Y6" t="e">
        <f t="shared" si="5"/>
        <v>#N/A</v>
      </c>
      <c r="Z6" t="e">
        <f t="shared" si="5"/>
        <v>#N/A</v>
      </c>
      <c r="AA6">
        <f t="shared" si="5"/>
        <v>38.5</v>
      </c>
      <c r="AB6" t="e">
        <f t="shared" si="5"/>
        <v>#N/A</v>
      </c>
      <c r="AC6">
        <f t="shared" si="5"/>
        <v>42.9</v>
      </c>
      <c r="AD6" t="e">
        <f t="shared" si="5"/>
        <v>#N/A</v>
      </c>
      <c r="AE6" t="e">
        <f t="shared" si="5"/>
        <v>#N/A</v>
      </c>
      <c r="AF6" t="e">
        <f t="shared" si="5"/>
        <v>#N/A</v>
      </c>
      <c r="AG6" t="e">
        <f t="shared" si="5"/>
        <v>#N/A</v>
      </c>
      <c r="AH6" t="e">
        <f t="shared" si="5"/>
        <v>#N/A</v>
      </c>
      <c r="AI6" t="e">
        <f t="shared" si="5"/>
        <v>#N/A</v>
      </c>
    </row>
    <row r="7" spans="1:35">
      <c r="A7" s="585"/>
      <c r="B7" s="344"/>
      <c r="C7" s="329"/>
      <c r="D7" s="329"/>
      <c r="E7" s="329"/>
      <c r="F7" s="333"/>
      <c r="G7" s="329"/>
      <c r="H7" s="14" t="s">
        <v>30</v>
      </c>
      <c r="I7" s="125">
        <v>5.6000000000000001E-2</v>
      </c>
      <c r="J7" s="125">
        <v>5.6000000000000001E-2</v>
      </c>
      <c r="K7" s="125">
        <v>5.6000000000000001E-2</v>
      </c>
      <c r="L7" s="5"/>
      <c r="M7" s="5"/>
      <c r="N7" s="5"/>
      <c r="O7" s="5"/>
      <c r="P7" s="5"/>
      <c r="Q7" s="5"/>
      <c r="R7" s="5"/>
      <c r="S7" s="5"/>
      <c r="T7" s="5"/>
      <c r="W7" t="s">
        <v>90</v>
      </c>
      <c r="X7" t="e">
        <f t="shared" ref="X7:AI7" si="6">IF(I21&lt;&gt;"",IF($F20="Higher the better",IF(I21&gt;=I20,I21,NA()),IF(I21&lt;=I20,I21,NA())),NA())</f>
        <v>#N/A</v>
      </c>
      <c r="Y7" t="e">
        <f t="shared" si="6"/>
        <v>#N/A</v>
      </c>
      <c r="Z7" t="e">
        <f t="shared" si="6"/>
        <v>#N/A</v>
      </c>
      <c r="AA7" t="e">
        <f t="shared" si="6"/>
        <v>#N/A</v>
      </c>
      <c r="AB7" t="e">
        <f t="shared" si="6"/>
        <v>#N/A</v>
      </c>
      <c r="AC7" t="e">
        <f t="shared" si="6"/>
        <v>#N/A</v>
      </c>
      <c r="AD7" t="e">
        <f t="shared" si="6"/>
        <v>#N/A</v>
      </c>
      <c r="AE7" t="e">
        <f t="shared" si="6"/>
        <v>#N/A</v>
      </c>
      <c r="AF7" t="e">
        <f t="shared" si="6"/>
        <v>#N/A</v>
      </c>
      <c r="AG7" t="e">
        <f t="shared" si="6"/>
        <v>#N/A</v>
      </c>
      <c r="AH7" t="e">
        <f t="shared" si="6"/>
        <v>#N/A</v>
      </c>
      <c r="AI7" t="e">
        <f t="shared" si="6"/>
        <v>#N/A</v>
      </c>
    </row>
    <row r="8" spans="1:35" ht="15" thickBot="1">
      <c r="A8" s="584" t="s">
        <v>712</v>
      </c>
      <c r="B8" s="348" t="s">
        <v>748</v>
      </c>
      <c r="C8" s="328" t="s">
        <v>115</v>
      </c>
      <c r="D8" s="328" t="s">
        <v>749</v>
      </c>
      <c r="E8" s="328" t="s">
        <v>247</v>
      </c>
      <c r="F8" s="336" t="s">
        <v>99</v>
      </c>
      <c r="G8" s="328" t="s">
        <v>55</v>
      </c>
      <c r="H8" s="14" t="s">
        <v>29</v>
      </c>
      <c r="I8" s="50">
        <v>2.4</v>
      </c>
      <c r="J8" s="50">
        <v>2.4</v>
      </c>
      <c r="K8" s="50">
        <v>3.2</v>
      </c>
      <c r="L8" s="50">
        <v>2.1</v>
      </c>
      <c r="M8" s="50">
        <v>2.1</v>
      </c>
      <c r="N8" s="50">
        <v>4.8</v>
      </c>
      <c r="O8" s="50">
        <v>2.8</v>
      </c>
      <c r="P8" s="50">
        <v>2.8</v>
      </c>
      <c r="Q8" s="50">
        <v>5.6</v>
      </c>
      <c r="R8" s="50">
        <v>3.7</v>
      </c>
      <c r="S8" s="50">
        <v>4.0999999999999996</v>
      </c>
      <c r="T8" s="50">
        <v>4.2</v>
      </c>
      <c r="W8" t="s">
        <v>91</v>
      </c>
      <c r="X8">
        <f t="shared" ref="X8:AI8" si="7">IF(I21&lt;&gt;"",IF($F20="Higher the better",IF(I21&lt;I20,I21,NA()),IF(I21&gt;I20,I21,NA())),NA())</f>
        <v>17.8</v>
      </c>
      <c r="Y8">
        <f t="shared" si="7"/>
        <v>17.8</v>
      </c>
      <c r="Z8">
        <f t="shared" si="7"/>
        <v>17.8</v>
      </c>
      <c r="AA8" t="e">
        <f t="shared" si="7"/>
        <v>#N/A</v>
      </c>
      <c r="AB8" t="e">
        <f t="shared" si="7"/>
        <v>#N/A</v>
      </c>
      <c r="AC8" t="e">
        <f t="shared" si="7"/>
        <v>#N/A</v>
      </c>
      <c r="AD8" t="e">
        <f t="shared" si="7"/>
        <v>#N/A</v>
      </c>
      <c r="AE8" t="e">
        <f t="shared" si="7"/>
        <v>#N/A</v>
      </c>
      <c r="AF8" t="e">
        <f t="shared" si="7"/>
        <v>#N/A</v>
      </c>
      <c r="AG8" t="e">
        <f t="shared" si="7"/>
        <v>#N/A</v>
      </c>
      <c r="AH8" t="e">
        <f t="shared" si="7"/>
        <v>#N/A</v>
      </c>
      <c r="AI8" t="e">
        <f t="shared" si="7"/>
        <v>#N/A</v>
      </c>
    </row>
    <row r="9" spans="1:35">
      <c r="A9" s="585"/>
      <c r="B9" s="344"/>
      <c r="C9" s="329"/>
      <c r="D9" s="329"/>
      <c r="E9" s="329"/>
      <c r="F9" s="333"/>
      <c r="G9" s="329"/>
      <c r="H9" s="14" t="s">
        <v>30</v>
      </c>
      <c r="I9" s="45">
        <v>2.1</v>
      </c>
      <c r="J9" s="45">
        <v>2.1</v>
      </c>
      <c r="K9" s="209">
        <v>3.1</v>
      </c>
      <c r="L9" s="45">
        <v>4.0999999999999996</v>
      </c>
      <c r="M9" s="45">
        <v>2.6</v>
      </c>
      <c r="N9" s="45">
        <v>3.2</v>
      </c>
      <c r="O9" s="45">
        <v>0.8</v>
      </c>
      <c r="P9" s="45"/>
      <c r="Q9" s="45"/>
      <c r="R9" s="45"/>
      <c r="S9" s="45"/>
      <c r="T9" s="45"/>
      <c r="W9" t="s">
        <v>90</v>
      </c>
      <c r="X9" t="e">
        <f t="shared" ref="X9:AI9" si="8">IF(I23&lt;&gt;"",IF($F22="Higher the better",IF(I23&gt;=I22,I23,NA()),IF(I23&lt;=I22,I23,NA())),NA())</f>
        <v>#N/A</v>
      </c>
      <c r="Y9">
        <f t="shared" si="8"/>
        <v>45.7</v>
      </c>
      <c r="Z9">
        <f t="shared" si="8"/>
        <v>44</v>
      </c>
      <c r="AA9">
        <f t="shared" si="8"/>
        <v>31.5</v>
      </c>
      <c r="AB9" t="e">
        <f t="shared" si="8"/>
        <v>#N/A</v>
      </c>
      <c r="AC9">
        <f t="shared" si="8"/>
        <v>52</v>
      </c>
      <c r="AD9">
        <f t="shared" si="8"/>
        <v>38</v>
      </c>
      <c r="AE9" t="e">
        <f t="shared" si="8"/>
        <v>#N/A</v>
      </c>
      <c r="AF9" t="e">
        <f t="shared" si="8"/>
        <v>#N/A</v>
      </c>
      <c r="AG9" t="e">
        <f t="shared" si="8"/>
        <v>#N/A</v>
      </c>
      <c r="AH9" t="e">
        <f t="shared" si="8"/>
        <v>#N/A</v>
      </c>
      <c r="AI9" t="e">
        <f t="shared" si="8"/>
        <v>#N/A</v>
      </c>
    </row>
    <row r="10" spans="1:35">
      <c r="A10" s="586" t="s">
        <v>750</v>
      </c>
      <c r="B10" s="407" t="s">
        <v>751</v>
      </c>
      <c r="C10" s="328" t="s">
        <v>97</v>
      </c>
      <c r="D10" s="363" t="s">
        <v>98</v>
      </c>
      <c r="E10" s="328" t="s">
        <v>98</v>
      </c>
      <c r="F10" s="336" t="s">
        <v>99</v>
      </c>
      <c r="G10" s="328" t="s">
        <v>55</v>
      </c>
      <c r="H10" s="14" t="s">
        <v>29</v>
      </c>
      <c r="I10" s="47">
        <v>40</v>
      </c>
      <c r="J10" s="47">
        <v>40</v>
      </c>
      <c r="K10" s="47">
        <v>40</v>
      </c>
      <c r="L10" s="47">
        <v>40</v>
      </c>
      <c r="M10" s="47">
        <v>40</v>
      </c>
      <c r="N10" s="47">
        <v>40</v>
      </c>
      <c r="O10" s="47">
        <v>40</v>
      </c>
      <c r="P10" s="47">
        <v>40</v>
      </c>
      <c r="Q10" s="47">
        <v>40</v>
      </c>
      <c r="R10" s="47">
        <v>40</v>
      </c>
      <c r="S10" s="47">
        <v>40</v>
      </c>
      <c r="T10" s="47">
        <v>40</v>
      </c>
      <c r="W10" t="s">
        <v>91</v>
      </c>
      <c r="X10">
        <f t="shared" ref="X10:AI10" si="9">IF(I23&lt;&gt;"",IF($F22="Higher the better",IF(I23&lt;I22,I23,NA()),IF(I23&gt;I22,I23,NA())),NA())</f>
        <v>26</v>
      </c>
      <c r="Y10" t="e">
        <f t="shared" si="9"/>
        <v>#N/A</v>
      </c>
      <c r="Z10" t="e">
        <f t="shared" si="9"/>
        <v>#N/A</v>
      </c>
      <c r="AA10" t="e">
        <f t="shared" si="9"/>
        <v>#N/A</v>
      </c>
      <c r="AB10">
        <f t="shared" si="9"/>
        <v>26.5</v>
      </c>
      <c r="AC10" t="e">
        <f t="shared" si="9"/>
        <v>#N/A</v>
      </c>
      <c r="AD10" t="e">
        <f t="shared" si="9"/>
        <v>#N/A</v>
      </c>
      <c r="AE10" t="e">
        <f t="shared" si="9"/>
        <v>#N/A</v>
      </c>
      <c r="AF10" t="e">
        <f t="shared" si="9"/>
        <v>#N/A</v>
      </c>
      <c r="AG10" t="e">
        <f t="shared" si="9"/>
        <v>#N/A</v>
      </c>
      <c r="AH10" t="e">
        <f t="shared" si="9"/>
        <v>#N/A</v>
      </c>
      <c r="AI10" t="e">
        <f t="shared" si="9"/>
        <v>#N/A</v>
      </c>
    </row>
    <row r="11" spans="1:35">
      <c r="A11" s="588"/>
      <c r="B11" s="438"/>
      <c r="C11" s="329"/>
      <c r="D11" s="329"/>
      <c r="E11" s="329"/>
      <c r="F11" s="475"/>
      <c r="G11" s="329"/>
      <c r="H11" s="14" t="s">
        <v>30</v>
      </c>
      <c r="I11" s="45">
        <v>60</v>
      </c>
      <c r="J11" s="286">
        <v>20</v>
      </c>
      <c r="K11" s="286">
        <v>21</v>
      </c>
      <c r="L11" s="286">
        <v>68</v>
      </c>
      <c r="M11" s="45">
        <v>38</v>
      </c>
      <c r="N11" s="45"/>
      <c r="O11" s="45"/>
      <c r="P11" s="45"/>
      <c r="Q11" s="45"/>
      <c r="R11" s="45"/>
      <c r="S11" s="45"/>
      <c r="T11" s="45"/>
      <c r="W11" t="s">
        <v>90</v>
      </c>
      <c r="X11">
        <f t="shared" ref="X11:AI11" si="10">IF(I25&lt;&gt;"",IF($F24="Higher the better",IF(I25&gt;=I24,I25,NA()),IF(I25&lt;=I24,I25,NA())),NA())</f>
        <v>0.34</v>
      </c>
      <c r="Y11">
        <f t="shared" si="10"/>
        <v>0.35399999999999998</v>
      </c>
      <c r="Z11">
        <f t="shared" si="10"/>
        <v>0.40200000000000002</v>
      </c>
      <c r="AA11">
        <f t="shared" si="10"/>
        <v>0.56299999999999994</v>
      </c>
      <c r="AB11">
        <f t="shared" si="10"/>
        <v>0.59</v>
      </c>
      <c r="AC11">
        <f t="shared" si="10"/>
        <v>0.49399999999999999</v>
      </c>
      <c r="AD11">
        <f t="shared" si="10"/>
        <v>58.4</v>
      </c>
      <c r="AE11" t="e">
        <f t="shared" si="10"/>
        <v>#N/A</v>
      </c>
      <c r="AF11" t="e">
        <f t="shared" si="10"/>
        <v>#N/A</v>
      </c>
      <c r="AG11" t="e">
        <f t="shared" si="10"/>
        <v>#N/A</v>
      </c>
      <c r="AH11" t="e">
        <f t="shared" si="10"/>
        <v>#N/A</v>
      </c>
      <c r="AI11" t="e">
        <f t="shared" si="10"/>
        <v>#N/A</v>
      </c>
    </row>
    <row r="12" spans="1:35" ht="18.600000000000001">
      <c r="A12" s="31" t="s">
        <v>112</v>
      </c>
      <c r="G12" s="38"/>
      <c r="I12" s="43"/>
      <c r="J12" s="43"/>
      <c r="K12" s="43"/>
      <c r="L12" s="43"/>
      <c r="M12" s="43"/>
      <c r="N12" s="43"/>
      <c r="O12" s="43"/>
      <c r="P12" s="43"/>
      <c r="Q12" s="43"/>
      <c r="R12" s="43"/>
      <c r="S12" s="43"/>
      <c r="T12" s="43"/>
      <c r="W12" t="s">
        <v>91</v>
      </c>
      <c r="X12" t="e">
        <f t="shared" ref="X12:AI12" si="11">IF(I25&lt;&gt;"",IF($F24="Higher the better",IF(I25&lt;I24,I25,NA()),IF(I25&gt;I24,I25,NA())),NA())</f>
        <v>#N/A</v>
      </c>
      <c r="Y12" t="e">
        <f t="shared" si="11"/>
        <v>#N/A</v>
      </c>
      <c r="Z12" t="e">
        <f t="shared" si="11"/>
        <v>#N/A</v>
      </c>
      <c r="AA12" t="e">
        <f t="shared" si="11"/>
        <v>#N/A</v>
      </c>
      <c r="AB12" t="e">
        <f t="shared" si="11"/>
        <v>#N/A</v>
      </c>
      <c r="AC12" t="e">
        <f t="shared" si="11"/>
        <v>#N/A</v>
      </c>
      <c r="AD12" t="e">
        <f t="shared" si="11"/>
        <v>#N/A</v>
      </c>
      <c r="AE12" t="e">
        <f t="shared" si="11"/>
        <v>#N/A</v>
      </c>
      <c r="AF12" t="e">
        <f t="shared" si="11"/>
        <v>#N/A</v>
      </c>
      <c r="AG12" t="e">
        <f t="shared" si="11"/>
        <v>#N/A</v>
      </c>
      <c r="AH12" t="e">
        <f t="shared" si="11"/>
        <v>#N/A</v>
      </c>
      <c r="AI12" t="e">
        <f t="shared" si="11"/>
        <v>#N/A</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4.85" customHeight="1">
      <c r="A14" s="586" t="s">
        <v>752</v>
      </c>
      <c r="B14" s="407" t="s">
        <v>753</v>
      </c>
      <c r="C14" s="328" t="s">
        <v>97</v>
      </c>
      <c r="D14" s="336" t="s">
        <v>754</v>
      </c>
      <c r="E14" s="328" t="s">
        <v>54</v>
      </c>
      <c r="F14" s="336" t="s">
        <v>99</v>
      </c>
      <c r="G14" s="328" t="s">
        <v>55</v>
      </c>
      <c r="H14" s="14" t="s">
        <v>29</v>
      </c>
      <c r="I14" s="44">
        <v>7.2</v>
      </c>
      <c r="J14" s="44">
        <v>7.2</v>
      </c>
      <c r="K14" s="44">
        <v>9.6</v>
      </c>
      <c r="L14" s="44">
        <v>7.2</v>
      </c>
      <c r="M14" s="44">
        <v>7.2</v>
      </c>
      <c r="N14" s="44">
        <v>9.6</v>
      </c>
      <c r="O14" s="44">
        <v>8.4</v>
      </c>
      <c r="P14" s="44">
        <v>8.4</v>
      </c>
      <c r="Q14" s="44">
        <v>16.8</v>
      </c>
      <c r="R14" s="44">
        <v>11.1</v>
      </c>
      <c r="S14" s="44">
        <v>12.3</v>
      </c>
      <c r="T14" s="44">
        <v>12.6</v>
      </c>
    </row>
    <row r="15" spans="1:35">
      <c r="A15" s="587"/>
      <c r="B15" s="388"/>
      <c r="C15" s="474"/>
      <c r="D15" s="474"/>
      <c r="E15" s="474"/>
      <c r="F15" s="475"/>
      <c r="G15" s="474"/>
      <c r="H15" s="14" t="s">
        <v>30</v>
      </c>
      <c r="I15" s="45">
        <v>7.4</v>
      </c>
      <c r="J15" s="45">
        <v>7.1</v>
      </c>
      <c r="K15" s="45">
        <v>10</v>
      </c>
      <c r="L15" s="45">
        <v>9.81</v>
      </c>
      <c r="M15" s="45">
        <v>12.3</v>
      </c>
      <c r="N15" s="45">
        <v>7.7</v>
      </c>
      <c r="O15" s="45">
        <v>9.8000000000000007</v>
      </c>
      <c r="P15" s="45">
        <v>5.2</v>
      </c>
      <c r="Q15" s="45"/>
      <c r="R15" s="45"/>
      <c r="S15" s="45"/>
      <c r="T15" s="45"/>
    </row>
    <row r="16" spans="1:35">
      <c r="A16" s="586" t="s">
        <v>755</v>
      </c>
      <c r="B16" s="407" t="s">
        <v>756</v>
      </c>
      <c r="C16" s="328" t="s">
        <v>97</v>
      </c>
      <c r="D16" s="336">
        <v>125</v>
      </c>
      <c r="E16" s="328" t="s">
        <v>54</v>
      </c>
      <c r="F16" s="336" t="s">
        <v>99</v>
      </c>
      <c r="G16" s="328" t="s">
        <v>55</v>
      </c>
      <c r="H16" s="14" t="s">
        <v>29</v>
      </c>
      <c r="I16" s="44">
        <v>7</v>
      </c>
      <c r="J16" s="44">
        <v>8</v>
      </c>
      <c r="K16" s="44">
        <v>10</v>
      </c>
      <c r="L16" s="44">
        <v>9</v>
      </c>
      <c r="M16" s="44">
        <v>10</v>
      </c>
      <c r="N16" s="44">
        <v>12</v>
      </c>
      <c r="O16" s="44">
        <v>9</v>
      </c>
      <c r="P16" s="44">
        <v>10</v>
      </c>
      <c r="Q16" s="44">
        <v>12</v>
      </c>
      <c r="R16" s="44">
        <v>11</v>
      </c>
      <c r="S16" s="44">
        <v>13</v>
      </c>
      <c r="T16" s="44">
        <v>14</v>
      </c>
    </row>
    <row r="17" spans="1:20">
      <c r="A17" s="587"/>
      <c r="B17" s="388"/>
      <c r="C17" s="474"/>
      <c r="D17" s="474"/>
      <c r="E17" s="474"/>
      <c r="F17" s="475"/>
      <c r="G17" s="474"/>
      <c r="H17" s="14" t="s">
        <v>30</v>
      </c>
      <c r="I17" s="45">
        <v>10</v>
      </c>
      <c r="J17" s="45">
        <v>9</v>
      </c>
      <c r="K17" s="45">
        <v>6</v>
      </c>
      <c r="L17" s="45">
        <v>7.5</v>
      </c>
      <c r="M17" s="45">
        <v>8</v>
      </c>
      <c r="N17" s="45">
        <v>11</v>
      </c>
      <c r="O17" s="45">
        <v>10</v>
      </c>
      <c r="P17" s="45"/>
      <c r="Q17" s="45"/>
      <c r="R17" s="45"/>
      <c r="S17" s="45"/>
      <c r="T17" s="45"/>
    </row>
    <row r="18" spans="1:20">
      <c r="A18" s="586" t="s">
        <v>757</v>
      </c>
      <c r="B18" s="407" t="s">
        <v>732</v>
      </c>
      <c r="C18" s="328" t="s">
        <v>97</v>
      </c>
      <c r="D18" s="363">
        <v>0.5</v>
      </c>
      <c r="E18" s="328" t="s">
        <v>98</v>
      </c>
      <c r="F18" s="336" t="s">
        <v>99</v>
      </c>
      <c r="G18" s="328" t="s">
        <v>55</v>
      </c>
      <c r="H18" s="14" t="s">
        <v>29</v>
      </c>
      <c r="I18" s="44">
        <v>50</v>
      </c>
      <c r="J18" s="44">
        <v>50</v>
      </c>
      <c r="K18" s="44">
        <v>50</v>
      </c>
      <c r="L18" s="44">
        <v>50</v>
      </c>
      <c r="M18" s="44">
        <v>50</v>
      </c>
      <c r="N18" s="44">
        <v>50</v>
      </c>
      <c r="O18" s="44">
        <v>50</v>
      </c>
      <c r="P18" s="44">
        <v>50</v>
      </c>
      <c r="Q18" s="44">
        <v>50</v>
      </c>
      <c r="R18" s="44">
        <v>50</v>
      </c>
      <c r="S18" s="44">
        <v>50</v>
      </c>
      <c r="T18" s="44">
        <v>50</v>
      </c>
    </row>
    <row r="19" spans="1:20">
      <c r="A19" s="587"/>
      <c r="B19" s="388"/>
      <c r="C19" s="474"/>
      <c r="D19" s="474"/>
      <c r="E19" s="474"/>
      <c r="F19" s="475"/>
      <c r="G19" s="474"/>
      <c r="H19" s="14" t="s">
        <v>30</v>
      </c>
      <c r="I19" s="179">
        <v>85.7</v>
      </c>
      <c r="J19" s="179">
        <v>61.5</v>
      </c>
      <c r="K19" s="179">
        <v>50</v>
      </c>
      <c r="L19" s="285">
        <v>38.5</v>
      </c>
      <c r="M19" s="45">
        <v>85.7</v>
      </c>
      <c r="N19" s="45">
        <v>42.9</v>
      </c>
      <c r="O19" s="45">
        <v>100</v>
      </c>
      <c r="P19" s="45"/>
      <c r="Q19" s="45"/>
      <c r="R19" s="45"/>
      <c r="S19" s="45"/>
      <c r="T19" s="45"/>
    </row>
    <row r="20" spans="1:20" ht="14.85" customHeight="1">
      <c r="A20" s="586" t="s">
        <v>758</v>
      </c>
      <c r="B20" s="407" t="s">
        <v>759</v>
      </c>
      <c r="C20" s="328" t="s">
        <v>97</v>
      </c>
      <c r="D20" s="363">
        <v>0.26</v>
      </c>
      <c r="E20" s="328" t="s">
        <v>98</v>
      </c>
      <c r="F20" s="336" t="s">
        <v>99</v>
      </c>
      <c r="G20" s="328" t="s">
        <v>593</v>
      </c>
      <c r="H20" s="14" t="s">
        <v>29</v>
      </c>
      <c r="I20" s="44">
        <v>26</v>
      </c>
      <c r="J20" s="44">
        <v>26</v>
      </c>
      <c r="K20" s="44">
        <v>26</v>
      </c>
      <c r="L20" s="44">
        <v>26</v>
      </c>
      <c r="M20" s="44">
        <v>26</v>
      </c>
      <c r="N20" s="44">
        <v>26</v>
      </c>
      <c r="O20" s="44">
        <v>26</v>
      </c>
      <c r="P20" s="44">
        <v>26</v>
      </c>
      <c r="Q20" s="44">
        <v>26</v>
      </c>
      <c r="R20" s="44">
        <v>26</v>
      </c>
      <c r="S20" s="44">
        <v>26</v>
      </c>
      <c r="T20" s="44">
        <v>26</v>
      </c>
    </row>
    <row r="21" spans="1:20" ht="15.6" customHeight="1">
      <c r="A21" s="588"/>
      <c r="B21" s="438"/>
      <c r="C21" s="329"/>
      <c r="D21" s="329"/>
      <c r="E21" s="329"/>
      <c r="F21" s="475"/>
      <c r="G21" s="329"/>
      <c r="H21" s="14" t="s">
        <v>30</v>
      </c>
      <c r="I21" s="45">
        <v>17.8</v>
      </c>
      <c r="J21" s="45">
        <v>17.8</v>
      </c>
      <c r="K21" s="45">
        <v>17.8</v>
      </c>
      <c r="L21" s="45"/>
      <c r="M21" s="45"/>
      <c r="N21" s="45"/>
      <c r="O21" s="45"/>
      <c r="P21" s="45"/>
      <c r="Q21" s="45"/>
      <c r="R21" s="45"/>
      <c r="S21" s="45"/>
      <c r="T21" s="45"/>
    </row>
    <row r="22" spans="1:20">
      <c r="A22" s="584" t="s">
        <v>760</v>
      </c>
      <c r="B22" s="491" t="s">
        <v>761</v>
      </c>
      <c r="C22" s="328" t="s">
        <v>97</v>
      </c>
      <c r="D22" s="363">
        <v>0.28000000000000003</v>
      </c>
      <c r="E22" s="46" t="s">
        <v>98</v>
      </c>
      <c r="F22" s="336" t="s">
        <v>99</v>
      </c>
      <c r="G22" s="328" t="s">
        <v>55</v>
      </c>
      <c r="H22" s="14" t="s">
        <v>29</v>
      </c>
      <c r="I22" s="44">
        <v>28</v>
      </c>
      <c r="J22" s="44">
        <v>28</v>
      </c>
      <c r="K22" s="44">
        <v>28</v>
      </c>
      <c r="L22" s="44">
        <v>28</v>
      </c>
      <c r="M22" s="44">
        <v>28</v>
      </c>
      <c r="N22" s="44">
        <v>28</v>
      </c>
      <c r="O22" s="44">
        <v>28</v>
      </c>
      <c r="P22" s="44">
        <v>28</v>
      </c>
      <c r="Q22" s="44">
        <v>28</v>
      </c>
      <c r="R22" s="44">
        <v>28</v>
      </c>
      <c r="S22" s="44">
        <v>28</v>
      </c>
      <c r="T22" s="44">
        <v>28</v>
      </c>
    </row>
    <row r="23" spans="1:20" ht="13.5" customHeight="1">
      <c r="A23" s="585"/>
      <c r="B23" s="406"/>
      <c r="C23" s="329"/>
      <c r="D23" s="468"/>
      <c r="E23" s="49"/>
      <c r="F23" s="333"/>
      <c r="G23" s="329"/>
      <c r="H23" s="14" t="s">
        <v>30</v>
      </c>
      <c r="I23" s="45">
        <v>26</v>
      </c>
      <c r="J23" s="45">
        <v>45.7</v>
      </c>
      <c r="K23" s="45">
        <v>44</v>
      </c>
      <c r="L23" s="45">
        <v>31.5</v>
      </c>
      <c r="M23" s="45">
        <v>26.5</v>
      </c>
      <c r="N23" s="45">
        <v>52</v>
      </c>
      <c r="O23" s="45">
        <v>38</v>
      </c>
      <c r="P23" s="45"/>
      <c r="Q23" s="45"/>
      <c r="R23" s="45"/>
      <c r="S23" s="45"/>
      <c r="T23" s="45"/>
    </row>
    <row r="24" spans="1:20" ht="13.5" customHeight="1">
      <c r="A24" s="584" t="s">
        <v>762</v>
      </c>
      <c r="B24" s="430" t="s">
        <v>763</v>
      </c>
      <c r="C24" s="328" t="s">
        <v>97</v>
      </c>
      <c r="D24" s="437">
        <v>0.34</v>
      </c>
      <c r="E24" s="328" t="s">
        <v>98</v>
      </c>
      <c r="F24" s="336" t="s">
        <v>99</v>
      </c>
      <c r="G24" s="328" t="s">
        <v>55</v>
      </c>
      <c r="H24" s="14" t="s">
        <v>29</v>
      </c>
      <c r="I24" s="4">
        <v>0.34</v>
      </c>
      <c r="J24" s="4">
        <v>0.34</v>
      </c>
      <c r="K24" s="4">
        <v>0.34</v>
      </c>
      <c r="L24" s="4">
        <v>0.34</v>
      </c>
      <c r="M24" s="4">
        <v>0.34</v>
      </c>
      <c r="N24" s="4">
        <v>0.34</v>
      </c>
      <c r="O24" s="4">
        <v>0.34</v>
      </c>
      <c r="P24" s="4">
        <v>0.34</v>
      </c>
      <c r="Q24" s="4">
        <v>0.34</v>
      </c>
      <c r="R24" s="4">
        <v>0.34</v>
      </c>
      <c r="S24" s="4">
        <v>0.34</v>
      </c>
      <c r="T24" s="4">
        <v>0.34</v>
      </c>
    </row>
    <row r="25" spans="1:20" ht="13.5" customHeight="1">
      <c r="A25" s="585"/>
      <c r="B25" s="432"/>
      <c r="C25" s="329"/>
      <c r="D25" s="329"/>
      <c r="E25" s="329"/>
      <c r="F25" s="333"/>
      <c r="G25" s="329"/>
      <c r="H25" s="14" t="s">
        <v>30</v>
      </c>
      <c r="I25" s="5">
        <v>0.34</v>
      </c>
      <c r="J25" s="5">
        <v>0.35399999999999998</v>
      </c>
      <c r="K25" s="5">
        <v>0.40200000000000002</v>
      </c>
      <c r="L25" s="5">
        <v>0.56299999999999994</v>
      </c>
      <c r="M25" s="5">
        <v>0.59</v>
      </c>
      <c r="N25" s="5">
        <v>0.49399999999999999</v>
      </c>
      <c r="O25" s="45">
        <v>58.4</v>
      </c>
      <c r="P25" s="45"/>
      <c r="Q25" s="45"/>
      <c r="R25" s="45"/>
      <c r="S25" s="45"/>
      <c r="T25" s="45"/>
    </row>
    <row r="26" spans="1:20" ht="15" customHeight="1">
      <c r="E26" s="32" t="s">
        <v>86</v>
      </c>
      <c r="H26" s="33"/>
    </row>
    <row r="27" spans="1:20" ht="21">
      <c r="A27" s="10" t="s">
        <v>217</v>
      </c>
      <c r="B27"/>
      <c r="I27" t="s">
        <v>764</v>
      </c>
    </row>
    <row r="28" spans="1:20">
      <c r="A28" s="28"/>
      <c r="B28"/>
    </row>
    <row r="29" spans="1:20">
      <c r="A29" s="28"/>
      <c r="B29"/>
    </row>
    <row r="30" spans="1:20">
      <c r="A30" s="28"/>
      <c r="B30"/>
    </row>
    <row r="31" spans="1:20">
      <c r="A31" s="28"/>
      <c r="B31"/>
    </row>
    <row r="32" spans="1:20">
      <c r="A32" s="28"/>
      <c r="B32"/>
    </row>
    <row r="33" spans="1:6">
      <c r="A33" s="28"/>
      <c r="B33"/>
    </row>
    <row r="34" spans="1:6">
      <c r="A34" s="28"/>
      <c r="B34"/>
    </row>
    <row r="35" spans="1:6">
      <c r="A35" s="28"/>
      <c r="B35"/>
    </row>
    <row r="36" spans="1:6">
      <c r="A36" s="28"/>
      <c r="B36"/>
    </row>
    <row r="37" spans="1:6">
      <c r="A37" s="28"/>
      <c r="B37"/>
    </row>
    <row r="38" spans="1:6">
      <c r="A38" s="28"/>
      <c r="B38"/>
    </row>
    <row r="39" spans="1:6">
      <c r="A39" s="28"/>
      <c r="B39"/>
    </row>
    <row r="40" spans="1:6">
      <c r="A40" s="28"/>
      <c r="B40"/>
    </row>
    <row r="41" spans="1:6">
      <c r="A41" s="28"/>
      <c r="B41"/>
    </row>
    <row r="42" spans="1:6">
      <c r="A42" s="28"/>
      <c r="B42"/>
    </row>
    <row r="43" spans="1:6">
      <c r="A43" s="28"/>
      <c r="B43"/>
    </row>
    <row r="44" spans="1:6" ht="21">
      <c r="A44" s="356" t="s">
        <v>123</v>
      </c>
      <c r="B44" s="356"/>
      <c r="C44" s="356"/>
      <c r="D44" s="356"/>
      <c r="E44" s="356"/>
    </row>
    <row r="45" spans="1:6">
      <c r="A45" s="28"/>
      <c r="B45"/>
    </row>
    <row r="46" spans="1:6" ht="21">
      <c r="A46" s="347" t="s">
        <v>124</v>
      </c>
      <c r="B46" s="347"/>
    </row>
    <row r="47" spans="1:6" ht="20.100000000000001" customHeight="1">
      <c r="A47" s="357" t="s">
        <v>125</v>
      </c>
      <c r="B47" s="359" t="s">
        <v>126</v>
      </c>
      <c r="C47" s="359"/>
      <c r="D47" s="359"/>
      <c r="E47" s="359"/>
      <c r="F47" s="359"/>
    </row>
    <row r="48" spans="1:6" ht="15" customHeight="1">
      <c r="A48" s="358"/>
      <c r="B48" s="25" t="s">
        <v>127</v>
      </c>
      <c r="C48" s="25" t="s">
        <v>128</v>
      </c>
      <c r="D48" s="25" t="s">
        <v>129</v>
      </c>
      <c r="E48" s="25" t="s">
        <v>130</v>
      </c>
      <c r="F48" s="25" t="s">
        <v>131</v>
      </c>
    </row>
    <row r="49" spans="1:6" ht="19.350000000000001" customHeight="1">
      <c r="A49" s="40" t="s">
        <v>709</v>
      </c>
      <c r="B49" s="41" t="s">
        <v>765</v>
      </c>
      <c r="C49" s="41" t="s">
        <v>766</v>
      </c>
      <c r="D49" s="41" t="s">
        <v>767</v>
      </c>
      <c r="E49" s="41"/>
      <c r="F49" s="41"/>
    </row>
    <row r="50" spans="1:6" ht="19.350000000000001" customHeight="1">
      <c r="A50" s="27" t="s">
        <v>135</v>
      </c>
      <c r="B50" s="42">
        <v>0.1</v>
      </c>
      <c r="C50" s="42">
        <v>0.2</v>
      </c>
      <c r="D50" s="42">
        <v>0.3</v>
      </c>
      <c r="E50" s="42">
        <v>0.4</v>
      </c>
      <c r="F50" s="42">
        <v>0.13</v>
      </c>
    </row>
    <row r="51" spans="1:6" ht="19.350000000000001" customHeight="1">
      <c r="A51" s="25" t="s">
        <v>136</v>
      </c>
      <c r="B51" s="25" t="s">
        <v>127</v>
      </c>
      <c r="C51" s="25" t="s">
        <v>128</v>
      </c>
      <c r="D51" s="25" t="s">
        <v>129</v>
      </c>
      <c r="E51" s="25" t="s">
        <v>130</v>
      </c>
      <c r="F51" s="25" t="s">
        <v>131</v>
      </c>
    </row>
    <row r="52" spans="1:6" ht="19.350000000000001" customHeight="1">
      <c r="A52" s="27" t="s">
        <v>712</v>
      </c>
      <c r="B52" t="s">
        <v>768</v>
      </c>
      <c r="C52" t="s">
        <v>769</v>
      </c>
      <c r="D52" s="41"/>
      <c r="E52" s="41"/>
      <c r="F52" s="41"/>
    </row>
    <row r="53" spans="1:6" ht="19.350000000000001" customHeight="1">
      <c r="A53" s="27" t="s">
        <v>135</v>
      </c>
      <c r="B53" s="42">
        <v>0.5</v>
      </c>
      <c r="C53" s="42">
        <v>0.5</v>
      </c>
      <c r="D53" s="42"/>
      <c r="E53" s="42"/>
      <c r="F53" s="42"/>
    </row>
    <row r="54" spans="1:6" ht="19.350000000000001" customHeight="1">
      <c r="A54" s="25" t="s">
        <v>136</v>
      </c>
      <c r="B54" s="25" t="s">
        <v>127</v>
      </c>
      <c r="C54" s="25" t="s">
        <v>128</v>
      </c>
      <c r="D54" s="25" t="s">
        <v>129</v>
      </c>
      <c r="E54" s="25" t="s">
        <v>130</v>
      </c>
      <c r="F54" s="25" t="s">
        <v>131</v>
      </c>
    </row>
    <row r="55" spans="1:6" ht="19.350000000000001" customHeight="1">
      <c r="A55" s="27" t="s">
        <v>770</v>
      </c>
      <c r="B55" t="s">
        <v>771</v>
      </c>
      <c r="C55" t="s">
        <v>772</v>
      </c>
      <c r="D55" t="s">
        <v>773</v>
      </c>
      <c r="E55" s="41"/>
      <c r="F55" s="41"/>
    </row>
    <row r="56" spans="1:6" ht="19.350000000000001" customHeight="1">
      <c r="A56" s="27" t="s">
        <v>135</v>
      </c>
      <c r="B56" s="42">
        <v>0.4</v>
      </c>
      <c r="C56" s="42">
        <v>0.35</v>
      </c>
      <c r="D56" s="42">
        <v>0.25</v>
      </c>
      <c r="E56" s="42"/>
      <c r="F56" s="42"/>
    </row>
    <row r="57" spans="1:6" ht="19.350000000000001" customHeight="1">
      <c r="A57" s="25" t="s">
        <v>136</v>
      </c>
      <c r="B57" s="25" t="s">
        <v>127</v>
      </c>
      <c r="C57" s="25" t="s">
        <v>128</v>
      </c>
      <c r="D57" s="25" t="s">
        <v>129</v>
      </c>
      <c r="E57" s="25" t="s">
        <v>130</v>
      </c>
      <c r="F57" s="25" t="s">
        <v>131</v>
      </c>
    </row>
    <row r="58" spans="1:6" ht="19.350000000000001" customHeight="1">
      <c r="A58" s="27" t="s">
        <v>752</v>
      </c>
      <c r="B58" s="41"/>
      <c r="C58" s="41"/>
      <c r="D58" s="41"/>
      <c r="E58" s="41"/>
      <c r="F58" s="41"/>
    </row>
    <row r="59" spans="1:6" ht="19.350000000000001" customHeight="1">
      <c r="A59" s="27" t="s">
        <v>135</v>
      </c>
      <c r="B59" s="42"/>
      <c r="C59" s="42"/>
      <c r="D59" s="42"/>
      <c r="E59" s="42"/>
      <c r="F59" s="42"/>
    </row>
    <row r="60" spans="1:6" ht="19.350000000000001" customHeight="1">
      <c r="A60" s="25" t="s">
        <v>136</v>
      </c>
      <c r="B60" s="25" t="s">
        <v>127</v>
      </c>
      <c r="C60" s="25" t="s">
        <v>128</v>
      </c>
      <c r="D60" s="25" t="s">
        <v>129</v>
      </c>
      <c r="E60" s="25" t="s">
        <v>130</v>
      </c>
      <c r="F60" s="25" t="s">
        <v>131</v>
      </c>
    </row>
    <row r="61" spans="1:6" ht="33.75" customHeight="1">
      <c r="A61" s="27" t="s">
        <v>733</v>
      </c>
      <c r="B61" t="s">
        <v>774</v>
      </c>
      <c r="C61" s="41" t="s">
        <v>775</v>
      </c>
      <c r="D61" s="33" t="s">
        <v>776</v>
      </c>
      <c r="E61" s="41"/>
      <c r="F61" s="41"/>
    </row>
    <row r="62" spans="1:6" ht="19.350000000000001" customHeight="1">
      <c r="A62" s="27" t="s">
        <v>135</v>
      </c>
      <c r="B62" s="42"/>
      <c r="C62" s="42"/>
      <c r="D62" s="42"/>
      <c r="E62" s="42"/>
      <c r="F62" s="42"/>
    </row>
    <row r="63" spans="1:6" ht="19.350000000000001" customHeight="1">
      <c r="A63" s="25" t="s">
        <v>136</v>
      </c>
      <c r="B63" s="25" t="s">
        <v>127</v>
      </c>
      <c r="C63" s="25" t="s">
        <v>128</v>
      </c>
      <c r="D63" s="25" t="s">
        <v>129</v>
      </c>
      <c r="E63" s="25" t="s">
        <v>130</v>
      </c>
      <c r="F63" s="25" t="s">
        <v>131</v>
      </c>
    </row>
    <row r="64" spans="1:6" ht="31.5" customHeight="1">
      <c r="A64" s="27" t="s">
        <v>758</v>
      </c>
      <c r="B64" s="41" t="s">
        <v>777</v>
      </c>
      <c r="C64" s="127" t="s">
        <v>778</v>
      </c>
      <c r="D64" s="41"/>
      <c r="E64" s="41"/>
      <c r="F64" s="41"/>
    </row>
    <row r="65" spans="1:6" ht="19.350000000000001" customHeight="1">
      <c r="A65" s="27" t="s">
        <v>135</v>
      </c>
      <c r="B65" s="42">
        <v>0.5</v>
      </c>
      <c r="C65" s="42">
        <v>0.5</v>
      </c>
      <c r="D65" s="42"/>
      <c r="E65" s="42"/>
      <c r="F65" s="42"/>
    </row>
    <row r="66" spans="1:6" ht="21">
      <c r="A66" s="10" t="s">
        <v>144</v>
      </c>
      <c r="B66"/>
    </row>
    <row r="67" spans="1:6">
      <c r="A67" s="28"/>
      <c r="B67"/>
    </row>
    <row r="68" spans="1:6">
      <c r="A68" s="28"/>
      <c r="B68"/>
    </row>
    <row r="69" spans="1:6">
      <c r="A69" s="28"/>
      <c r="B69"/>
    </row>
    <row r="70" spans="1:6">
      <c r="A70" s="28"/>
      <c r="B70"/>
    </row>
    <row r="71" spans="1:6">
      <c r="A71" s="28"/>
      <c r="B71"/>
    </row>
    <row r="72" spans="1:6">
      <c r="A72" s="28"/>
      <c r="B72"/>
    </row>
    <row r="73" spans="1:6">
      <c r="A73" s="28"/>
      <c r="B73"/>
    </row>
    <row r="74" spans="1:6">
      <c r="A74" s="28"/>
      <c r="B74"/>
    </row>
    <row r="75" spans="1:6">
      <c r="A75" s="28"/>
      <c r="B75"/>
    </row>
    <row r="76" spans="1:6">
      <c r="A76" s="28"/>
      <c r="B76"/>
    </row>
    <row r="77" spans="1:6">
      <c r="A77" s="28"/>
      <c r="B77"/>
    </row>
    <row r="78" spans="1:6">
      <c r="A78" s="28"/>
      <c r="B78"/>
    </row>
    <row r="79" spans="1:6">
      <c r="A79" s="28"/>
      <c r="B79"/>
    </row>
    <row r="80" spans="1:6">
      <c r="A80" s="28"/>
      <c r="B80"/>
    </row>
    <row r="81" spans="1:15" ht="15" thickBot="1">
      <c r="A81" s="28"/>
      <c r="B81"/>
    </row>
    <row r="82" spans="1:15" ht="18.95" thickBot="1">
      <c r="A82" s="360" t="s">
        <v>145</v>
      </c>
      <c r="B82" s="361"/>
      <c r="C82" s="361"/>
      <c r="D82" s="361"/>
      <c r="E82" s="361"/>
      <c r="F82" s="362"/>
      <c r="H82" s="364" t="s">
        <v>146</v>
      </c>
      <c r="I82" s="365"/>
      <c r="J82" s="365"/>
      <c r="K82" s="365"/>
      <c r="L82" s="365"/>
      <c r="M82" s="365"/>
      <c r="N82" s="365"/>
      <c r="O82" s="366"/>
    </row>
    <row r="83" spans="1:15" s="15" customFormat="1" ht="41.85" customHeight="1">
      <c r="A83" s="16" t="s">
        <v>136</v>
      </c>
      <c r="B83" s="17" t="s">
        <v>147</v>
      </c>
      <c r="C83" s="18" t="s">
        <v>148</v>
      </c>
      <c r="D83" s="19" t="s">
        <v>149</v>
      </c>
      <c r="E83" s="17" t="s">
        <v>150</v>
      </c>
      <c r="F83" s="20" t="s">
        <v>151</v>
      </c>
      <c r="G83"/>
      <c r="H83" s="21" t="s">
        <v>58</v>
      </c>
      <c r="I83" s="22" t="s">
        <v>152</v>
      </c>
      <c r="J83" s="22" t="s">
        <v>153</v>
      </c>
      <c r="K83" s="23" t="s">
        <v>154</v>
      </c>
      <c r="L83" s="23" t="s">
        <v>155</v>
      </c>
      <c r="M83" s="24" t="s">
        <v>156</v>
      </c>
      <c r="N83" s="23" t="s">
        <v>157</v>
      </c>
      <c r="O83" s="36" t="s">
        <v>158</v>
      </c>
    </row>
    <row r="84" spans="1:15" ht="16.5" customHeight="1">
      <c r="A84" s="589" t="s">
        <v>709</v>
      </c>
      <c r="B84" s="336" t="s">
        <v>779</v>
      </c>
      <c r="C84" s="336" t="s">
        <v>780</v>
      </c>
      <c r="D84" s="336" t="s">
        <v>781</v>
      </c>
      <c r="E84" s="337" t="s">
        <v>782</v>
      </c>
      <c r="F84" s="339">
        <v>5</v>
      </c>
      <c r="H84" s="330" t="s">
        <v>783</v>
      </c>
      <c r="I84" s="367"/>
      <c r="J84" s="367"/>
      <c r="K84" s="367"/>
      <c r="L84" s="367"/>
      <c r="M84" s="370" t="s">
        <v>338</v>
      </c>
      <c r="N84" s="367"/>
      <c r="O84" s="345"/>
    </row>
    <row r="85" spans="1:15" ht="18" customHeight="1">
      <c r="A85" s="590"/>
      <c r="B85" s="333"/>
      <c r="C85" s="333"/>
      <c r="D85" s="333"/>
      <c r="E85" s="338"/>
      <c r="F85" s="340"/>
      <c r="H85" s="331"/>
      <c r="I85" s="368"/>
      <c r="J85" s="368"/>
      <c r="K85" s="368"/>
      <c r="L85" s="368"/>
      <c r="M85" s="371"/>
      <c r="N85" s="368"/>
      <c r="O85" s="346"/>
    </row>
    <row r="86" spans="1:15" ht="17.100000000000001" customHeight="1">
      <c r="A86" s="589" t="s">
        <v>712</v>
      </c>
      <c r="B86" s="336" t="s">
        <v>784</v>
      </c>
      <c r="C86" s="336" t="s">
        <v>785</v>
      </c>
      <c r="D86" s="336" t="s">
        <v>786</v>
      </c>
      <c r="E86" s="337" t="s">
        <v>782</v>
      </c>
      <c r="F86" s="339">
        <v>3</v>
      </c>
      <c r="H86" s="330"/>
      <c r="I86" s="367"/>
      <c r="J86" s="367"/>
      <c r="K86" s="367"/>
      <c r="L86" s="367"/>
      <c r="M86" s="370"/>
      <c r="N86" s="367"/>
      <c r="O86" s="345"/>
    </row>
    <row r="87" spans="1:15" ht="17.100000000000001" customHeight="1">
      <c r="A87" s="590"/>
      <c r="B87" s="333"/>
      <c r="C87" s="333"/>
      <c r="D87" s="333"/>
      <c r="E87" s="338"/>
      <c r="F87" s="340"/>
      <c r="H87" s="331"/>
      <c r="I87" s="368"/>
      <c r="J87" s="368"/>
      <c r="K87" s="368"/>
      <c r="L87" s="368"/>
      <c r="M87" s="371"/>
      <c r="N87" s="368"/>
      <c r="O87" s="346"/>
    </row>
    <row r="88" spans="1:15" ht="17.100000000000001" customHeight="1">
      <c r="A88" s="591" t="s">
        <v>723</v>
      </c>
      <c r="B88" s="336"/>
      <c r="C88" s="336"/>
      <c r="D88" s="336"/>
      <c r="E88" s="337"/>
      <c r="F88" s="339">
        <v>1</v>
      </c>
      <c r="H88" s="330"/>
      <c r="I88" s="367"/>
      <c r="J88" s="367"/>
      <c r="K88" s="367"/>
      <c r="L88" s="367"/>
      <c r="M88" s="370"/>
      <c r="N88" s="367"/>
      <c r="O88" s="345"/>
    </row>
    <row r="89" spans="1:15" ht="16.5" customHeight="1">
      <c r="A89" s="592"/>
      <c r="B89" s="333"/>
      <c r="C89" s="333"/>
      <c r="D89" s="333"/>
      <c r="E89" s="338"/>
      <c r="F89" s="340"/>
      <c r="H89" s="331"/>
      <c r="I89" s="368"/>
      <c r="J89" s="368"/>
      <c r="K89" s="368"/>
      <c r="L89" s="368"/>
      <c r="M89" s="371"/>
      <c r="N89" s="368"/>
      <c r="O89" s="346"/>
    </row>
    <row r="90" spans="1:15" ht="16.5" customHeight="1">
      <c r="A90" s="232" t="s">
        <v>787</v>
      </c>
      <c r="B90" s="336"/>
      <c r="C90" s="336"/>
      <c r="D90" s="336"/>
      <c r="E90" s="337"/>
      <c r="F90" s="339">
        <v>1</v>
      </c>
      <c r="H90" s="330"/>
      <c r="I90" s="367"/>
      <c r="J90" s="367"/>
      <c r="K90" s="367"/>
      <c r="L90" s="367"/>
      <c r="M90" s="370"/>
      <c r="N90" s="367"/>
      <c r="O90" s="345"/>
    </row>
    <row r="91" spans="1:15" ht="16.5" customHeight="1">
      <c r="A91" s="233"/>
      <c r="B91" s="333"/>
      <c r="C91" s="333"/>
      <c r="D91" s="333"/>
      <c r="E91" s="338"/>
      <c r="F91" s="340"/>
      <c r="H91" s="331"/>
      <c r="I91" s="368"/>
      <c r="J91" s="368"/>
      <c r="K91" s="368"/>
      <c r="L91" s="368"/>
      <c r="M91" s="371"/>
      <c r="N91" s="368"/>
      <c r="O91" s="346"/>
    </row>
    <row r="92" spans="1:15" ht="16.5" customHeight="1">
      <c r="A92" s="287" t="s">
        <v>755</v>
      </c>
      <c r="B92" s="336" t="s">
        <v>788</v>
      </c>
      <c r="C92" s="336" t="s">
        <v>789</v>
      </c>
      <c r="D92" s="336" t="s">
        <v>790</v>
      </c>
      <c r="E92" s="337" t="s">
        <v>782</v>
      </c>
      <c r="F92" s="339">
        <v>2</v>
      </c>
      <c r="H92" s="330"/>
      <c r="I92" s="367"/>
      <c r="J92" s="367"/>
      <c r="K92" s="367"/>
      <c r="L92" s="367"/>
      <c r="M92" s="370"/>
      <c r="N92" s="367"/>
      <c r="O92" s="345"/>
    </row>
    <row r="93" spans="1:15" ht="16.5" customHeight="1">
      <c r="A93" s="288"/>
      <c r="B93" s="333"/>
      <c r="C93" s="333"/>
      <c r="D93" s="333"/>
      <c r="E93" s="338"/>
      <c r="F93" s="340"/>
      <c r="H93" s="331"/>
      <c r="I93" s="368"/>
      <c r="J93" s="368"/>
      <c r="K93" s="368"/>
      <c r="L93" s="368"/>
      <c r="M93" s="371"/>
      <c r="N93" s="368"/>
      <c r="O93" s="346"/>
    </row>
    <row r="94" spans="1:15" ht="16.5" customHeight="1">
      <c r="A94" s="232" t="s">
        <v>757</v>
      </c>
      <c r="B94" s="336"/>
      <c r="C94" s="336"/>
      <c r="D94" s="336"/>
      <c r="E94" s="337"/>
      <c r="F94" s="339">
        <v>1</v>
      </c>
      <c r="H94" s="330"/>
      <c r="I94" s="367"/>
      <c r="J94" s="367"/>
      <c r="K94" s="367"/>
      <c r="L94" s="367"/>
      <c r="M94" s="370"/>
      <c r="N94" s="367"/>
      <c r="O94" s="345"/>
    </row>
    <row r="95" spans="1:15" ht="16.5" customHeight="1">
      <c r="A95" s="233"/>
      <c r="B95" s="333"/>
      <c r="C95" s="333"/>
      <c r="D95" s="333"/>
      <c r="E95" s="338"/>
      <c r="F95" s="340"/>
      <c r="H95" s="331"/>
      <c r="I95" s="368"/>
      <c r="J95" s="368"/>
      <c r="K95" s="368"/>
      <c r="L95" s="368"/>
      <c r="M95" s="371"/>
      <c r="N95" s="368"/>
      <c r="O95" s="346"/>
    </row>
    <row r="96" spans="1:15" ht="16.5" customHeight="1">
      <c r="A96" s="287" t="s">
        <v>791</v>
      </c>
      <c r="B96" s="336" t="s">
        <v>792</v>
      </c>
      <c r="C96" s="336" t="s">
        <v>793</v>
      </c>
      <c r="D96" s="336" t="s">
        <v>794</v>
      </c>
      <c r="E96" s="337" t="s">
        <v>782</v>
      </c>
      <c r="F96" s="339">
        <v>2</v>
      </c>
      <c r="H96" s="330"/>
      <c r="I96" s="367"/>
      <c r="J96" s="367"/>
      <c r="K96" s="367"/>
      <c r="L96" s="367"/>
      <c r="M96" s="370"/>
      <c r="N96" s="367"/>
      <c r="O96" s="345"/>
    </row>
    <row r="97" spans="1:15" ht="16.5" customHeight="1">
      <c r="A97" s="288"/>
      <c r="B97" s="333"/>
      <c r="C97" s="333"/>
      <c r="D97" s="333"/>
      <c r="E97" s="338"/>
      <c r="F97" s="340"/>
      <c r="H97" s="331"/>
      <c r="I97" s="368"/>
      <c r="J97" s="368"/>
      <c r="K97" s="368"/>
      <c r="L97" s="368"/>
      <c r="M97" s="371"/>
      <c r="N97" s="368"/>
      <c r="O97" s="346"/>
    </row>
    <row r="98" spans="1:15" ht="16.5" customHeight="1">
      <c r="A98" s="593" t="s">
        <v>758</v>
      </c>
      <c r="B98" s="336" t="s">
        <v>795</v>
      </c>
      <c r="C98" s="336" t="s">
        <v>796</v>
      </c>
      <c r="D98" s="336" t="s">
        <v>790</v>
      </c>
      <c r="E98" s="337" t="s">
        <v>782</v>
      </c>
      <c r="F98" s="339">
        <v>3</v>
      </c>
      <c r="H98" s="330"/>
      <c r="I98" s="367"/>
      <c r="J98" s="367"/>
      <c r="K98" s="367"/>
      <c r="L98" s="367"/>
      <c r="M98" s="370"/>
      <c r="N98" s="367"/>
      <c r="O98" s="345"/>
    </row>
    <row r="99" spans="1:15" ht="16.5" customHeight="1">
      <c r="A99" s="594"/>
      <c r="B99" s="333"/>
      <c r="C99" s="333"/>
      <c r="D99" s="333"/>
      <c r="E99" s="338"/>
      <c r="F99" s="340"/>
      <c r="H99" s="331"/>
      <c r="I99" s="368"/>
      <c r="J99" s="368"/>
      <c r="K99" s="368"/>
      <c r="L99" s="368"/>
      <c r="M99" s="371"/>
      <c r="N99" s="368"/>
      <c r="O99" s="346"/>
    </row>
    <row r="100" spans="1:15" ht="16.5" customHeight="1">
      <c r="A100" s="330"/>
      <c r="B100" s="336"/>
      <c r="C100" s="336"/>
      <c r="D100" s="336"/>
      <c r="E100" s="337"/>
      <c r="F100" s="339">
        <v>1</v>
      </c>
      <c r="H100" s="330"/>
      <c r="I100" s="367"/>
      <c r="J100" s="367"/>
      <c r="K100" s="367"/>
      <c r="L100" s="367"/>
      <c r="M100" s="370"/>
      <c r="N100" s="367"/>
      <c r="O100" s="345"/>
    </row>
    <row r="101" spans="1:15" ht="17.100000000000001" customHeight="1" thickBot="1">
      <c r="A101" s="331"/>
      <c r="B101" s="384"/>
      <c r="C101" s="384"/>
      <c r="D101" s="384"/>
      <c r="E101" s="460"/>
      <c r="F101" s="340"/>
      <c r="H101" s="376"/>
      <c r="I101" s="379"/>
      <c r="J101" s="379"/>
      <c r="K101" s="379"/>
      <c r="L101" s="379"/>
      <c r="M101" s="380"/>
      <c r="N101" s="379"/>
      <c r="O101" s="381"/>
    </row>
    <row r="102" spans="1:15">
      <c r="A102" s="34" t="s">
        <v>195</v>
      </c>
      <c r="B102" s="34" t="s">
        <v>196</v>
      </c>
      <c r="C102" s="35" t="s">
        <v>197</v>
      </c>
      <c r="D102" s="35" t="s">
        <v>198</v>
      </c>
      <c r="E102" s="377" t="s">
        <v>199</v>
      </c>
      <c r="F102" s="378"/>
      <c r="G102" s="28"/>
    </row>
    <row r="103" spans="1:15">
      <c r="A103" s="28"/>
      <c r="C103" s="28"/>
      <c r="D103" s="28"/>
      <c r="E103" s="28"/>
      <c r="F103" s="28"/>
      <c r="G103" s="28"/>
    </row>
    <row r="104" spans="1:15">
      <c r="C104" s="28"/>
      <c r="D104" s="28"/>
      <c r="E104" s="28"/>
      <c r="F104" s="28"/>
      <c r="G104" s="28"/>
      <c r="H104" s="28"/>
    </row>
  </sheetData>
  <mergeCells count="192">
    <mergeCell ref="E102:F102"/>
    <mergeCell ref="F100:F101"/>
    <mergeCell ref="H100:H101"/>
    <mergeCell ref="I100:I101"/>
    <mergeCell ref="J100:J101"/>
    <mergeCell ref="K100:K101"/>
    <mergeCell ref="L100:L101"/>
    <mergeCell ref="K98:K99"/>
    <mergeCell ref="L98:L99"/>
    <mergeCell ref="M98:M99"/>
    <mergeCell ref="N98:N99"/>
    <mergeCell ref="O98:O99"/>
    <mergeCell ref="A100:A101"/>
    <mergeCell ref="B100:B101"/>
    <mergeCell ref="C100:C101"/>
    <mergeCell ref="D100:D101"/>
    <mergeCell ref="E100:E101"/>
    <mergeCell ref="M100:M101"/>
    <mergeCell ref="N100:N101"/>
    <mergeCell ref="O100:O101"/>
    <mergeCell ref="A98:A99"/>
    <mergeCell ref="B98:B99"/>
    <mergeCell ref="C98:C99"/>
    <mergeCell ref="D98:D99"/>
    <mergeCell ref="E98:E99"/>
    <mergeCell ref="F98:F99"/>
    <mergeCell ref="H98:H99"/>
    <mergeCell ref="I98:I99"/>
    <mergeCell ref="J98:J99"/>
    <mergeCell ref="O94:O95"/>
    <mergeCell ref="B96:B97"/>
    <mergeCell ref="C96:C97"/>
    <mergeCell ref="D96:D97"/>
    <mergeCell ref="E96:E97"/>
    <mergeCell ref="F96:F97"/>
    <mergeCell ref="H96:H97"/>
    <mergeCell ref="O96:O97"/>
    <mergeCell ref="I96:I97"/>
    <mergeCell ref="J96:J97"/>
    <mergeCell ref="K96:K97"/>
    <mergeCell ref="L96:L97"/>
    <mergeCell ref="M96:M97"/>
    <mergeCell ref="N96:N97"/>
    <mergeCell ref="B94:B95"/>
    <mergeCell ref="C94:C95"/>
    <mergeCell ref="D94:D95"/>
    <mergeCell ref="E94:E95"/>
    <mergeCell ref="F94:F95"/>
    <mergeCell ref="H94:H95"/>
    <mergeCell ref="I94:I95"/>
    <mergeCell ref="J94:J95"/>
    <mergeCell ref="K94:K95"/>
    <mergeCell ref="K88:K89"/>
    <mergeCell ref="L88:L89"/>
    <mergeCell ref="M88:M89"/>
    <mergeCell ref="N88:N89"/>
    <mergeCell ref="L90:L91"/>
    <mergeCell ref="M90:M91"/>
    <mergeCell ref="N90:N91"/>
    <mergeCell ref="L94:L95"/>
    <mergeCell ref="M94:M95"/>
    <mergeCell ref="N94:N95"/>
    <mergeCell ref="O90:O91"/>
    <mergeCell ref="B92:B93"/>
    <mergeCell ref="C92:C93"/>
    <mergeCell ref="D92:D93"/>
    <mergeCell ref="E92:E93"/>
    <mergeCell ref="F92:F93"/>
    <mergeCell ref="H92:H93"/>
    <mergeCell ref="O92:O93"/>
    <mergeCell ref="I92:I93"/>
    <mergeCell ref="J92:J93"/>
    <mergeCell ref="K92:K93"/>
    <mergeCell ref="L92:L93"/>
    <mergeCell ref="M92:M93"/>
    <mergeCell ref="N92:N93"/>
    <mergeCell ref="B90:B91"/>
    <mergeCell ref="C90:C91"/>
    <mergeCell ref="D90:D91"/>
    <mergeCell ref="E90:E91"/>
    <mergeCell ref="F90:F91"/>
    <mergeCell ref="H90:H91"/>
    <mergeCell ref="I90:I91"/>
    <mergeCell ref="J90:J91"/>
    <mergeCell ref="K90:K91"/>
    <mergeCell ref="A86:A87"/>
    <mergeCell ref="B86:B87"/>
    <mergeCell ref="C86:C87"/>
    <mergeCell ref="D86:D87"/>
    <mergeCell ref="E86:E87"/>
    <mergeCell ref="M86:M87"/>
    <mergeCell ref="N86:N87"/>
    <mergeCell ref="O86:O87"/>
    <mergeCell ref="A88:A89"/>
    <mergeCell ref="B88:B89"/>
    <mergeCell ref="C88:C89"/>
    <mergeCell ref="D88:D89"/>
    <mergeCell ref="E88:E89"/>
    <mergeCell ref="F88:F89"/>
    <mergeCell ref="H88:H89"/>
    <mergeCell ref="F86:F87"/>
    <mergeCell ref="H86:H87"/>
    <mergeCell ref="I86:I87"/>
    <mergeCell ref="J86:J87"/>
    <mergeCell ref="K86:K87"/>
    <mergeCell ref="L86:L87"/>
    <mergeCell ref="O88:O89"/>
    <mergeCell ref="I88:I89"/>
    <mergeCell ref="J88:J89"/>
    <mergeCell ref="H82:O82"/>
    <mergeCell ref="A84:A85"/>
    <mergeCell ref="B84:B85"/>
    <mergeCell ref="C84:C85"/>
    <mergeCell ref="D84:D85"/>
    <mergeCell ref="E84:E85"/>
    <mergeCell ref="F84:F85"/>
    <mergeCell ref="H84:H85"/>
    <mergeCell ref="I84:I85"/>
    <mergeCell ref="J84:J85"/>
    <mergeCell ref="K84:K85"/>
    <mergeCell ref="L84:L85"/>
    <mergeCell ref="M84:M85"/>
    <mergeCell ref="N84:N85"/>
    <mergeCell ref="O84:O85"/>
    <mergeCell ref="G24:G25"/>
    <mergeCell ref="A44:E44"/>
    <mergeCell ref="A46:B46"/>
    <mergeCell ref="A47:A48"/>
    <mergeCell ref="B47:F47"/>
    <mergeCell ref="A82:F82"/>
    <mergeCell ref="A24:A25"/>
    <mergeCell ref="B24:B25"/>
    <mergeCell ref="C24:C25"/>
    <mergeCell ref="D24:D25"/>
    <mergeCell ref="E24:E25"/>
    <mergeCell ref="F24:F25"/>
    <mergeCell ref="G20:G21"/>
    <mergeCell ref="A22:A23"/>
    <mergeCell ref="B22:B23"/>
    <mergeCell ref="C22:C23"/>
    <mergeCell ref="D22:D23"/>
    <mergeCell ref="F22:F23"/>
    <mergeCell ref="G22:G23"/>
    <mergeCell ref="A20:A21"/>
    <mergeCell ref="B20:B21"/>
    <mergeCell ref="C20:C21"/>
    <mergeCell ref="D20:D21"/>
    <mergeCell ref="E20:E21"/>
    <mergeCell ref="F20:F2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s>
  <conditionalFormatting sqref="A49">
    <cfRule type="containsBlanks" dxfId="115" priority="9">
      <formula>LEN(TRIM(A49))=0</formula>
    </cfRule>
  </conditionalFormatting>
  <conditionalFormatting sqref="A52 D52:F52 B53:F53 A55 E55:F55 B56:F56 A58:F58 B59:F59 A61 C61 E61:F61 B62:F62 A64:F64 B65:F65">
    <cfRule type="containsBlanks" dxfId="114" priority="16">
      <formula>LEN(TRIM(A52))=0</formula>
    </cfRule>
  </conditionalFormatting>
  <conditionalFormatting sqref="A100:A101">
    <cfRule type="containsBlanks" dxfId="113" priority="17">
      <formula>LEN(TRIM(A100))=0</formula>
    </cfRule>
  </conditionalFormatting>
  <conditionalFormatting sqref="A84:E84 A86:E86 A88:E88">
    <cfRule type="containsBlanks" dxfId="112" priority="12">
      <formula>LEN(TRIM(A84))=0</formula>
    </cfRule>
  </conditionalFormatting>
  <conditionalFormatting sqref="A90:E90 A92:E92 A94:E94 A96:E96">
    <cfRule type="containsBlanks" dxfId="111" priority="11">
      <formula>LEN(TRIM(A90))=0</formula>
    </cfRule>
  </conditionalFormatting>
  <conditionalFormatting sqref="A98:E98">
    <cfRule type="containsBlanks" dxfId="110" priority="1">
      <formula>LEN(TRIM(A98))=0</formula>
    </cfRule>
  </conditionalFormatting>
  <conditionalFormatting sqref="A6:G6 A8:G8">
    <cfRule type="containsBlanks" dxfId="109" priority="5">
      <formula>LEN(TRIM(A6))=0</formula>
    </cfRule>
  </conditionalFormatting>
  <conditionalFormatting sqref="A10:G10">
    <cfRule type="containsBlanks" dxfId="108" priority="4">
      <formula>LEN(TRIM(A10))=0</formula>
    </cfRule>
  </conditionalFormatting>
  <conditionalFormatting sqref="A14:G14 A16:G16 A18:G18">
    <cfRule type="containsBlanks" dxfId="107" priority="6">
      <formula>LEN(TRIM(A14))=0</formula>
    </cfRule>
  </conditionalFormatting>
  <conditionalFormatting sqref="A20:G20 A22:G22">
    <cfRule type="containsBlanks" dxfId="106" priority="8">
      <formula>LEN(TRIM(A20))=0</formula>
    </cfRule>
  </conditionalFormatting>
  <conditionalFormatting sqref="A24:G24">
    <cfRule type="containsBlanks" dxfId="105" priority="7">
      <formula>LEN(TRIM(A24))=0</formula>
    </cfRule>
  </conditionalFormatting>
  <conditionalFormatting sqref="B100:E100">
    <cfRule type="containsBlanks" dxfId="104" priority="25">
      <formula>LEN(TRIM(B100))=0</formula>
    </cfRule>
  </conditionalFormatting>
  <conditionalFormatting sqref="B49:F50">
    <cfRule type="containsBlanks" dxfId="103" priority="10">
      <formula>LEN(TRIM(B49))=0</formula>
    </cfRule>
  </conditionalFormatting>
  <conditionalFormatting sqref="D1">
    <cfRule type="containsBlanks" dxfId="102" priority="3">
      <formula>LEN(TRIM(D1))=0</formula>
    </cfRule>
  </conditionalFormatting>
  <conditionalFormatting sqref="F1">
    <cfRule type="containsBlanks" dxfId="101" priority="2">
      <formula>LEN(TRIM(F1))=0</formula>
    </cfRule>
  </conditionalFormatting>
  <conditionalFormatting sqref="F84 F86 F88 F90 F92 F94 F96 F98 F100">
    <cfRule type="expression" dxfId="100" priority="27">
      <formula>AND(#REF!&lt;&gt;"",E84&lt;TODAY(),F84&lt;4)</formula>
    </cfRule>
  </conditionalFormatting>
  <conditionalFormatting sqref="F84 F86 F88 F96 F98 F100 F90 F92 F94">
    <cfRule type="iconSet" priority="26">
      <iconSet iconSet="5Quarters" showValue="0">
        <cfvo type="percent" val="0"/>
        <cfvo type="num" val="2"/>
        <cfvo type="num" val="3"/>
        <cfvo type="num" val="4"/>
        <cfvo type="num" val="5"/>
      </iconSet>
    </cfRule>
  </conditionalFormatting>
  <conditionalFormatting sqref="H84:H101">
    <cfRule type="containsBlanks" dxfId="99" priority="15">
      <formula>LEN(TRIM(H84))=0</formula>
    </cfRule>
  </conditionalFormatting>
  <conditionalFormatting sqref="I84:O84 I86:O86 I88:O88 I90:O90 I92:O92 I94:O94 I96:O96 I98:O98 I100:O100">
    <cfRule type="containsBlanks" dxfId="98" priority="24">
      <formula>LEN(TRIM(I84))=0</formula>
    </cfRule>
  </conditionalFormatting>
  <conditionalFormatting sqref="I7:T7 I9:T9 I11:T11 I15:T15 I17:T17 I19:T19 I21:T21 I23:T23 I25:T25">
    <cfRule type="expression" dxfId="97" priority="21">
      <formula>AND(OR($F6="Lower the better", $F6="Lower the Better"), I7&lt;=I6)</formula>
    </cfRule>
    <cfRule type="expression" dxfId="96" priority="22">
      <formula>AND(OR($F6="Higher the better", $F6="Higher the Better"), I7&lt;I6)</formula>
    </cfRule>
    <cfRule type="expression" dxfId="95" priority="23" stopIfTrue="1">
      <formula>AND(OR($F6="Higher the better", $F6="Higher the Better"), I7&gt;=I6)</formula>
    </cfRule>
  </conditionalFormatting>
  <conditionalFormatting sqref="I7:T7 I9:T9 I11:T11">
    <cfRule type="containsBlanks" dxfId="94" priority="18">
      <formula>LEN(TRIM(I7))=0</formula>
    </cfRule>
  </conditionalFormatting>
  <conditionalFormatting sqref="I15:T15 I17:T17 I19:T19 I21:T21 I23:T23 I25:T25 I7:T7 I9:T9 I11:T11">
    <cfRule type="expression" dxfId="93" priority="20">
      <formula>AND(OR($F6="Lower the better", $F6="Lower the Better"), I7&gt;I6)</formula>
    </cfRule>
  </conditionalFormatting>
  <conditionalFormatting sqref="I15:T15 I17:T17 I19:T19 I21:T21 I23:T23 I25:T25">
    <cfRule type="containsBlanks" dxfId="92" priority="19">
      <formula>LEN(TRIM(I15))=0</formula>
    </cfRule>
  </conditionalFormatting>
  <conditionalFormatting sqref="M84:M101">
    <cfRule type="containsText" dxfId="91" priority="13" operator="containsText" text="No">
      <formula>NOT(ISERROR(SEARCH("No",M84)))</formula>
    </cfRule>
    <cfRule type="containsText" dxfId="90" priority="14" operator="containsText" text="Yes">
      <formula>NOT(ISERROR(SEARCH("Yes",M84)))</formula>
    </cfRule>
  </conditionalFormatting>
  <dataValidations count="7">
    <dataValidation type="list" allowBlank="1" showInputMessage="1" showErrorMessage="1" sqref="F84:G84 F86:G86 F88:G88 F96:G96 F98:G98 F100:G100 F90 F92 F94" xr:uid="{237FF72E-9109-49E5-B3E6-E36E252AA977}">
      <formula1>"1,2,3,4,5"</formula1>
    </dataValidation>
    <dataValidation type="list" allowBlank="1" showInputMessage="1" showErrorMessage="1" sqref="F24:F25 F14:F18 F20:F22 F6:F11" xr:uid="{BFAA99DC-C084-4B40-894A-6B491A6DB7E8}">
      <formula1>"Higher the better, Lower the better"</formula1>
    </dataValidation>
    <dataValidation type="list" allowBlank="1" showInputMessage="1" showErrorMessage="1" sqref="G24:G25 G14 G16:G22 G6:G11" xr:uid="{AC1BE808-8FAD-413A-96A7-1BDC510E0C0F}">
      <formula1>"Monthly, Quarterly, Half yearly"</formula1>
    </dataValidation>
    <dataValidation type="list" allowBlank="1" showInputMessage="1" showErrorMessage="1" sqref="C24:C25 C14 C16:C22 C6:C11" xr:uid="{569C54B2-DDBC-4701-A3E4-9893393B14C4}">
      <formula1>"&gt;, &lt;, &gt;=, &lt;=, ="</formula1>
    </dataValidation>
    <dataValidation type="list" allowBlank="1" showInputMessage="1" showErrorMessage="1" sqref="M84 M86 M88 M96 M98 M100 M90 M92 M94" xr:uid="{CBCE835E-317D-41E9-A1BD-D5C0B71CA5A6}">
      <formula1>"Yes, No"</formula1>
    </dataValidation>
    <dataValidation type="list" allowBlank="1" showInputMessage="1" showErrorMessage="1" sqref="B1:B2" xr:uid="{9410E146-0E9F-40BD-9E12-34630FD99C50}">
      <formula1>"Jan-2026, Feb-2026, Mar-2026, Apr-2026, May-2026, Jun-2026, Jul-2026, Aug-2026, Sep-2026, Oct-2026, Nov-2026, Dec-2026"</formula1>
    </dataValidation>
    <dataValidation type="list" allowBlank="1" showInputMessage="1" showErrorMessage="1" sqref="E16:E25 E14 E6:E11" xr:uid="{9BC89278-C8AB-4A3F-A205-E7313DE83526}">
      <formula1>"%, Mn, No., "</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A7059-52FE-408E-9C6C-CB93DF19F527}">
  <sheetPr codeName="Sheet12"/>
  <dimension ref="A1:AI98"/>
  <sheetViews>
    <sheetView zoomScale="70" zoomScaleNormal="70" workbookViewId="0">
      <pane xSplit="2" ySplit="5" topLeftCell="C6" activePane="bottomRight" state="frozen"/>
      <selection pane="bottomRight" activeCell="P27" sqref="P27"/>
      <selection pane="bottomLeft" activeCell="A6" sqref="A6"/>
      <selection pane="topRight" activeCell="C1" sqref="C1"/>
    </sheetView>
  </sheetViews>
  <sheetFormatPr defaultRowHeight="14.45"/>
  <cols>
    <col min="1" max="1" width="19.5703125" customWidth="1"/>
    <col min="2" max="2" width="22.42578125" style="28" customWidth="1"/>
    <col min="3" max="3" width="20.42578125" customWidth="1"/>
    <col min="4" max="4" width="19.5703125" customWidth="1"/>
    <col min="5" max="6" width="20.5703125" customWidth="1"/>
    <col min="7" max="7" width="12" customWidth="1"/>
    <col min="8" max="8" width="14.5703125"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3" width="11.42578125" hidden="1" customWidth="1"/>
    <col min="24" max="24" width="8.5703125" hidden="1" customWidth="1"/>
    <col min="25" max="25" width="14.42578125" hidden="1" customWidth="1"/>
    <col min="26" max="35" width="8.5703125" hidden="1" customWidth="1"/>
    <col min="36" max="49" width="8.5703125" customWidth="1"/>
  </cols>
  <sheetData>
    <row r="1" spans="1:35" ht="19.350000000000001" customHeight="1">
      <c r="A1" s="12" t="s">
        <v>0</v>
      </c>
      <c r="B1" s="30">
        <v>46023</v>
      </c>
      <c r="C1" s="12" t="s">
        <v>88</v>
      </c>
      <c r="D1" s="12" t="s">
        <v>797</v>
      </c>
      <c r="E1" s="12" t="s">
        <v>89</v>
      </c>
      <c r="F1" s="12" t="s">
        <v>798</v>
      </c>
      <c r="W1" t="s">
        <v>90</v>
      </c>
      <c r="X1" t="e">
        <f t="shared" ref="X1:AI1" si="0">IF(I15&lt;&gt;"",IF($F14="Higher the better",IF(I15&gt;=I14,I15,NA()),IF(I15&lt;=I14,I15,NA())),NA())</f>
        <v>#N/A</v>
      </c>
      <c r="Y1">
        <f t="shared" si="0"/>
        <v>8.1</v>
      </c>
      <c r="Z1">
        <f t="shared" si="0"/>
        <v>12.7</v>
      </c>
      <c r="AA1" t="e">
        <f t="shared" si="0"/>
        <v>#N/A</v>
      </c>
      <c r="AB1" t="e">
        <f t="shared" si="0"/>
        <v>#N/A</v>
      </c>
      <c r="AC1" t="e">
        <f t="shared" si="0"/>
        <v>#N/A</v>
      </c>
      <c r="AD1">
        <f t="shared" si="0"/>
        <v>9</v>
      </c>
      <c r="AE1" t="e">
        <f t="shared" si="0"/>
        <v>#N/A</v>
      </c>
      <c r="AF1" t="e">
        <f t="shared" si="0"/>
        <v>#N/A</v>
      </c>
      <c r="AG1" t="e">
        <f t="shared" si="0"/>
        <v>#N/A</v>
      </c>
      <c r="AH1" t="e">
        <f t="shared" si="0"/>
        <v>#N/A</v>
      </c>
      <c r="AI1" t="e">
        <f t="shared" si="0"/>
        <v>#N/A</v>
      </c>
    </row>
    <row r="2" spans="1:35" ht="19.350000000000001" customHeight="1">
      <c r="A2" s="13"/>
      <c r="B2" s="37"/>
      <c r="D2" s="13"/>
      <c r="E2" s="13"/>
      <c r="W2" t="s">
        <v>91</v>
      </c>
      <c r="X2">
        <f t="shared" ref="X2:AI2" si="1">IF(I15&lt;&gt;"",IF($F14="Higher the better",IF(I15&lt;I14,I15,NA()),IF(I15&gt;I14,I15,NA())),NA())</f>
        <v>4.5999999999999996</v>
      </c>
      <c r="Y2" t="e">
        <f t="shared" si="1"/>
        <v>#N/A</v>
      </c>
      <c r="Z2" t="e">
        <f t="shared" si="1"/>
        <v>#N/A</v>
      </c>
      <c r="AA2">
        <f t="shared" si="1"/>
        <v>7.2</v>
      </c>
      <c r="AB2">
        <f t="shared" si="1"/>
        <v>3.5</v>
      </c>
      <c r="AC2">
        <f t="shared" si="1"/>
        <v>12</v>
      </c>
      <c r="AD2" t="e">
        <f t="shared" si="1"/>
        <v>#N/A</v>
      </c>
      <c r="AE2">
        <f t="shared" si="1"/>
        <v>6</v>
      </c>
      <c r="AF2">
        <f t="shared" si="1"/>
        <v>9.1999999999999993</v>
      </c>
      <c r="AG2" t="e">
        <f t="shared" si="1"/>
        <v>#N/A</v>
      </c>
      <c r="AH2" t="e">
        <f t="shared" si="1"/>
        <v>#N/A</v>
      </c>
      <c r="AI2" t="e">
        <f t="shared" si="1"/>
        <v>#N/A</v>
      </c>
    </row>
    <row r="3" spans="1:35" ht="20.100000000000001" customHeight="1">
      <c r="A3" s="347" t="s">
        <v>799</v>
      </c>
      <c r="B3" s="347"/>
      <c r="W3" t="s">
        <v>90</v>
      </c>
      <c r="X3">
        <f t="shared" ref="X3:AG3" si="2">IF(I17&lt;&gt;"",IF($F16="Higher the better",IF(I17&gt;=I16,I17,NA()),IF(I17&lt;=I16,I17,NA())),NA())</f>
        <v>0.52</v>
      </c>
      <c r="Y3">
        <f t="shared" si="2"/>
        <v>0.5</v>
      </c>
      <c r="Z3">
        <f t="shared" si="2"/>
        <v>0.51</v>
      </c>
      <c r="AA3" t="e">
        <f t="shared" si="2"/>
        <v>#N/A</v>
      </c>
      <c r="AB3" t="e">
        <f t="shared" si="2"/>
        <v>#N/A</v>
      </c>
      <c r="AC3" t="e">
        <f t="shared" si="2"/>
        <v>#N/A</v>
      </c>
      <c r="AD3">
        <f t="shared" si="2"/>
        <v>0.54</v>
      </c>
      <c r="AE3" t="e">
        <f t="shared" si="2"/>
        <v>#N/A</v>
      </c>
      <c r="AF3" t="e">
        <f t="shared" si="2"/>
        <v>#N/A</v>
      </c>
      <c r="AG3" t="e">
        <f t="shared" si="2"/>
        <v>#N/A</v>
      </c>
      <c r="AH3" t="e">
        <f>IF(S17&lt;&gt;"",IF($F16="Higher the better",IF(S17&gt;=S16,S17,NA()),IF(S17&lt;=S16,S17,NA())),NA())</f>
        <v>#N/A</v>
      </c>
      <c r="AI3" t="e">
        <f>IF(T17&lt;&gt;"",IF($F16="Higher the better",IF(T17&gt;=T16,T17,NA()),IF(T17&lt;=T16,T17,NA())),NA())</f>
        <v>#N/A</v>
      </c>
    </row>
    <row r="4" spans="1:35" ht="18.600000000000001" customHeight="1">
      <c r="A4" s="11" t="s">
        <v>93</v>
      </c>
      <c r="B4" s="11"/>
      <c r="W4" t="s">
        <v>91</v>
      </c>
      <c r="X4" t="e">
        <f t="shared" ref="X4:AG4" si="3">IF(I17&lt;&gt;"",IF($F16="Higher the better",IF(I17&lt;I16,I17,NA()),IF(I17&gt;I16,I17,NA())),NA())</f>
        <v>#N/A</v>
      </c>
      <c r="Y4" t="e">
        <f t="shared" si="3"/>
        <v>#N/A</v>
      </c>
      <c r="Z4" t="e">
        <f t="shared" si="3"/>
        <v>#N/A</v>
      </c>
      <c r="AA4">
        <f t="shared" si="3"/>
        <v>0.504</v>
      </c>
      <c r="AB4">
        <f t="shared" si="3"/>
        <v>0.50600000000000001</v>
      </c>
      <c r="AC4">
        <f t="shared" si="3"/>
        <v>0.53</v>
      </c>
      <c r="AD4" t="e">
        <f t="shared" si="3"/>
        <v>#N/A</v>
      </c>
      <c r="AE4" t="e">
        <f t="shared" si="3"/>
        <v>#N/A</v>
      </c>
      <c r="AF4" t="e">
        <f t="shared" si="3"/>
        <v>#N/A</v>
      </c>
      <c r="AG4" t="e">
        <f t="shared" si="3"/>
        <v>#N/A</v>
      </c>
      <c r="AH4" t="e">
        <f>IF(S17&lt;&gt;"",IF($F16="Higher the better",IF(S17&lt;S16,S17,NA()),IF(S17&gt;S16,S17,NA())),NA())</f>
        <v>#N/A</v>
      </c>
      <c r="AI4" t="e">
        <f>IF(T17&lt;&gt;"",IF($F16="Higher the better",IF(T17&lt;T16,T17,NA()),IF(T17&gt;T16,T17,NA())),NA())</f>
        <v>#N/A</v>
      </c>
    </row>
    <row r="5" spans="1:35"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f t="shared" ref="X5:AI5" si="4">IF(I19&lt;&gt;"",IF($F18="Higher the better",IF(I19&gt;=I18,I19,NA()),IF(I19&lt;=I18,I19,NA())),NA())</f>
        <v>0.6</v>
      </c>
      <c r="Y5">
        <f t="shared" si="4"/>
        <v>0.81</v>
      </c>
      <c r="Z5">
        <f t="shared" si="4"/>
        <v>1.05</v>
      </c>
      <c r="AA5" t="e">
        <f t="shared" si="4"/>
        <v>#N/A</v>
      </c>
      <c r="AB5" t="e">
        <f t="shared" si="4"/>
        <v>#N/A</v>
      </c>
      <c r="AC5" t="e">
        <f t="shared" si="4"/>
        <v>#N/A</v>
      </c>
      <c r="AD5">
        <f t="shared" si="4"/>
        <v>0.6</v>
      </c>
      <c r="AE5" t="e">
        <f t="shared" si="4"/>
        <v>#N/A</v>
      </c>
      <c r="AF5" t="e">
        <f t="shared" si="4"/>
        <v>#N/A</v>
      </c>
      <c r="AG5" t="e">
        <f t="shared" si="4"/>
        <v>#N/A</v>
      </c>
      <c r="AH5" t="e">
        <f t="shared" si="4"/>
        <v>#N/A</v>
      </c>
      <c r="AI5" t="e">
        <f t="shared" si="4"/>
        <v>#N/A</v>
      </c>
    </row>
    <row r="6" spans="1:35">
      <c r="A6" s="348" t="s">
        <v>800</v>
      </c>
      <c r="B6" s="350" t="s">
        <v>801</v>
      </c>
      <c r="C6" s="328" t="s">
        <v>120</v>
      </c>
      <c r="D6" s="355">
        <v>0.16500000000000001</v>
      </c>
      <c r="E6" s="328" t="s">
        <v>98</v>
      </c>
      <c r="F6" s="336" t="s">
        <v>99</v>
      </c>
      <c r="G6" s="328" t="s">
        <v>593</v>
      </c>
      <c r="H6" s="14" t="s">
        <v>29</v>
      </c>
      <c r="I6" s="44"/>
      <c r="J6" s="44"/>
      <c r="K6" s="44"/>
      <c r="L6" s="44"/>
      <c r="M6" s="44"/>
      <c r="N6" s="44"/>
      <c r="O6" s="44"/>
      <c r="P6" s="44"/>
      <c r="Q6" s="44"/>
      <c r="R6" s="44"/>
      <c r="S6" s="44"/>
      <c r="T6" s="51">
        <v>0.16500000000000001</v>
      </c>
      <c r="W6" t="s">
        <v>91</v>
      </c>
      <c r="X6" t="e">
        <f t="shared" ref="X6:AI6" si="5">IF(I19&lt;&gt;"",IF($F18="Higher the better",IF(I19&lt;I18,I19,NA()),IF(I19&gt;I18,I19,NA())),NA())</f>
        <v>#N/A</v>
      </c>
      <c r="Y6" t="e">
        <f t="shared" si="5"/>
        <v>#N/A</v>
      </c>
      <c r="Z6" t="e">
        <f t="shared" si="5"/>
        <v>#N/A</v>
      </c>
      <c r="AA6">
        <f t="shared" si="5"/>
        <v>0.37</v>
      </c>
      <c r="AB6">
        <f t="shared" si="5"/>
        <v>0.42</v>
      </c>
      <c r="AC6">
        <f t="shared" si="5"/>
        <v>0.7</v>
      </c>
      <c r="AD6" t="e">
        <f t="shared" si="5"/>
        <v>#N/A</v>
      </c>
      <c r="AE6">
        <f t="shared" si="5"/>
        <v>0.63</v>
      </c>
      <c r="AF6">
        <f t="shared" si="5"/>
        <v>0.67</v>
      </c>
      <c r="AG6" t="e">
        <f t="shared" si="5"/>
        <v>#N/A</v>
      </c>
      <c r="AH6" t="e">
        <f t="shared" si="5"/>
        <v>#N/A</v>
      </c>
      <c r="AI6" t="e">
        <f t="shared" si="5"/>
        <v>#N/A</v>
      </c>
    </row>
    <row r="7" spans="1:35">
      <c r="A7" s="349"/>
      <c r="B7" s="344"/>
      <c r="C7" s="329"/>
      <c r="D7" s="329"/>
      <c r="E7" s="329"/>
      <c r="F7" s="333"/>
      <c r="G7" s="329"/>
      <c r="H7" s="14" t="s">
        <v>30</v>
      </c>
      <c r="I7" s="45"/>
      <c r="J7" s="45"/>
      <c r="K7" s="67">
        <v>0.157</v>
      </c>
      <c r="L7" s="45"/>
      <c r="M7" s="67">
        <v>0.14499999999999999</v>
      </c>
      <c r="N7" s="45"/>
      <c r="O7" s="45"/>
      <c r="P7" s="45"/>
      <c r="Q7" s="45"/>
      <c r="R7" s="45"/>
      <c r="S7" s="45"/>
      <c r="T7" s="45"/>
      <c r="W7" t="s">
        <v>90</v>
      </c>
      <c r="X7" t="e">
        <f t="shared" ref="X7:AI7" si="6">IF(I21&lt;&gt;"",IF($F20="Higher the better",IF(I21&gt;=I20,I21,NA()),IF(I21&lt;=I20,I21,NA())),NA())</f>
        <v>#N/A</v>
      </c>
      <c r="Y7">
        <f t="shared" si="6"/>
        <v>0.42</v>
      </c>
      <c r="Z7">
        <f t="shared" si="6"/>
        <v>0.47</v>
      </c>
      <c r="AA7">
        <f t="shared" si="6"/>
        <v>0.38900000000000001</v>
      </c>
      <c r="AB7" t="e">
        <f t="shared" si="6"/>
        <v>#N/A</v>
      </c>
      <c r="AC7">
        <f t="shared" si="6"/>
        <v>0.45700000000000002</v>
      </c>
      <c r="AD7" t="e">
        <f t="shared" si="6"/>
        <v>#N/A</v>
      </c>
      <c r="AE7" t="e">
        <f t="shared" si="6"/>
        <v>#N/A</v>
      </c>
      <c r="AF7" t="e">
        <f t="shared" si="6"/>
        <v>#N/A</v>
      </c>
      <c r="AG7" t="e">
        <f t="shared" si="6"/>
        <v>#N/A</v>
      </c>
      <c r="AH7" t="e">
        <f t="shared" si="6"/>
        <v>#N/A</v>
      </c>
      <c r="AI7" t="e">
        <f t="shared" si="6"/>
        <v>#N/A</v>
      </c>
    </row>
    <row r="8" spans="1:35">
      <c r="A8" s="348" t="s">
        <v>802</v>
      </c>
      <c r="B8" s="348" t="s">
        <v>803</v>
      </c>
      <c r="C8" s="328" t="s">
        <v>120</v>
      </c>
      <c r="D8" s="328">
        <v>42</v>
      </c>
      <c r="E8" s="328" t="s">
        <v>247</v>
      </c>
      <c r="F8" s="336" t="s">
        <v>99</v>
      </c>
      <c r="G8" s="328" t="s">
        <v>55</v>
      </c>
      <c r="H8" s="14" t="s">
        <v>29</v>
      </c>
      <c r="I8" s="44">
        <v>3</v>
      </c>
      <c r="J8" s="44">
        <v>1.6</v>
      </c>
      <c r="K8" s="44">
        <v>3.9</v>
      </c>
      <c r="L8" s="44">
        <v>3.1</v>
      </c>
      <c r="M8" s="44">
        <v>2.1</v>
      </c>
      <c r="N8" s="44">
        <v>4.4000000000000004</v>
      </c>
      <c r="O8" s="44">
        <v>2.9</v>
      </c>
      <c r="P8" s="44">
        <v>3</v>
      </c>
      <c r="Q8" s="44">
        <v>4.5</v>
      </c>
      <c r="R8" s="44">
        <v>3.8</v>
      </c>
      <c r="S8" s="44">
        <v>4.7</v>
      </c>
      <c r="T8" s="44">
        <v>7.1</v>
      </c>
      <c r="W8" t="s">
        <v>91</v>
      </c>
      <c r="X8">
        <f t="shared" ref="X8:AI8" si="7">IF(I21&lt;&gt;"",IF($F20="Higher the better",IF(I21&lt;I20,I21,NA()),IF(I21&gt;I20,I21,NA())),NA())</f>
        <v>0.25</v>
      </c>
      <c r="Y8" t="e">
        <f t="shared" si="7"/>
        <v>#N/A</v>
      </c>
      <c r="Z8" t="e">
        <f t="shared" si="7"/>
        <v>#N/A</v>
      </c>
      <c r="AA8" t="e">
        <f t="shared" si="7"/>
        <v>#N/A</v>
      </c>
      <c r="AB8">
        <f t="shared" si="7"/>
        <v>0.154</v>
      </c>
      <c r="AC8" t="e">
        <f t="shared" si="7"/>
        <v>#N/A</v>
      </c>
      <c r="AD8">
        <f t="shared" si="7"/>
        <v>0.16</v>
      </c>
      <c r="AE8">
        <f t="shared" si="7"/>
        <v>0.22600000000000001</v>
      </c>
      <c r="AF8" t="e">
        <f t="shared" si="7"/>
        <v>#N/A</v>
      </c>
      <c r="AG8" t="e">
        <f t="shared" si="7"/>
        <v>#N/A</v>
      </c>
      <c r="AH8" t="e">
        <f t="shared" si="7"/>
        <v>#N/A</v>
      </c>
      <c r="AI8" t="e">
        <f t="shared" si="7"/>
        <v>#N/A</v>
      </c>
    </row>
    <row r="9" spans="1:35">
      <c r="A9" s="349"/>
      <c r="B9" s="349"/>
      <c r="C9" s="329"/>
      <c r="D9" s="329"/>
      <c r="E9" s="329"/>
      <c r="F9" s="333"/>
      <c r="G9" s="329"/>
      <c r="H9" s="14" t="s">
        <v>30</v>
      </c>
      <c r="I9" s="45">
        <v>1</v>
      </c>
      <c r="J9" s="45">
        <v>2.9</v>
      </c>
      <c r="K9" s="45">
        <v>5.4</v>
      </c>
      <c r="L9" s="45">
        <v>1.9</v>
      </c>
      <c r="M9" s="45">
        <v>1.7</v>
      </c>
      <c r="N9" s="45">
        <v>4.4000000000000004</v>
      </c>
      <c r="O9" s="45">
        <v>1.5</v>
      </c>
      <c r="P9" s="45">
        <v>1.2</v>
      </c>
      <c r="Q9" s="45"/>
      <c r="R9" s="45"/>
      <c r="S9" s="45"/>
      <c r="T9" s="45"/>
      <c r="W9" t="s">
        <v>90</v>
      </c>
      <c r="X9">
        <f t="shared" ref="X9:AI9" si="8">IF(I23&lt;&gt;"",IF($F22="Higher the better",IF(I23&gt;=I22,I23,NA()),IF(I23&lt;=I22,I23,NA())),NA())</f>
        <v>0.4</v>
      </c>
      <c r="Y9">
        <f t="shared" si="8"/>
        <v>0.58799999999999997</v>
      </c>
      <c r="Z9">
        <f t="shared" si="8"/>
        <v>0.6</v>
      </c>
      <c r="AA9">
        <f t="shared" si="8"/>
        <v>0.58299999999999996</v>
      </c>
      <c r="AB9">
        <f t="shared" si="8"/>
        <v>0.66700000000000004</v>
      </c>
      <c r="AC9" t="e">
        <f t="shared" si="8"/>
        <v>#N/A</v>
      </c>
      <c r="AD9" t="e">
        <f t="shared" si="8"/>
        <v>#N/A</v>
      </c>
      <c r="AE9" t="e">
        <f t="shared" si="8"/>
        <v>#N/A</v>
      </c>
      <c r="AF9" t="e">
        <f t="shared" si="8"/>
        <v>#N/A</v>
      </c>
      <c r="AG9" t="e">
        <f t="shared" si="8"/>
        <v>#N/A</v>
      </c>
      <c r="AH9" t="e">
        <f t="shared" si="8"/>
        <v>#N/A</v>
      </c>
      <c r="AI9" t="e">
        <f t="shared" si="8"/>
        <v>#N/A</v>
      </c>
    </row>
    <row r="10" spans="1:35">
      <c r="A10" s="348" t="s">
        <v>804</v>
      </c>
      <c r="B10" s="348" t="s">
        <v>805</v>
      </c>
      <c r="C10" s="328" t="s">
        <v>120</v>
      </c>
      <c r="D10" s="328">
        <v>26.9</v>
      </c>
      <c r="E10" s="328" t="s">
        <v>247</v>
      </c>
      <c r="F10" s="336" t="s">
        <v>99</v>
      </c>
      <c r="G10" s="328" t="s">
        <v>55</v>
      </c>
      <c r="H10" s="14" t="s">
        <v>29</v>
      </c>
      <c r="I10" s="44">
        <v>2</v>
      </c>
      <c r="J10" s="44">
        <v>2</v>
      </c>
      <c r="K10" s="44">
        <v>3.5</v>
      </c>
      <c r="L10" s="44">
        <v>1.8</v>
      </c>
      <c r="M10" s="44">
        <v>1.8</v>
      </c>
      <c r="N10" s="44">
        <v>1.8</v>
      </c>
      <c r="O10" s="44">
        <v>1.7</v>
      </c>
      <c r="P10" s="44">
        <v>1.3</v>
      </c>
      <c r="Q10" s="44">
        <v>2.5</v>
      </c>
      <c r="R10" s="44">
        <v>2.4</v>
      </c>
      <c r="S10" s="44">
        <v>2.2999999999999998</v>
      </c>
      <c r="T10" s="44">
        <v>3.7</v>
      </c>
      <c r="W10" t="s">
        <v>91</v>
      </c>
      <c r="X10" t="e">
        <f t="shared" ref="X10:AI10" si="9">IF(I23&lt;&gt;"",IF($F22="Higher the better",IF(I23&lt;I22,I23,NA()),IF(I23&gt;I22,I23,NA())),NA())</f>
        <v>#N/A</v>
      </c>
      <c r="Y10" t="e">
        <f t="shared" si="9"/>
        <v>#N/A</v>
      </c>
      <c r="Z10" t="e">
        <f t="shared" si="9"/>
        <v>#N/A</v>
      </c>
      <c r="AA10" t="e">
        <f t="shared" si="9"/>
        <v>#N/A</v>
      </c>
      <c r="AB10" t="e">
        <f t="shared" si="9"/>
        <v>#N/A</v>
      </c>
      <c r="AC10">
        <f t="shared" si="9"/>
        <v>0.33300000000000002</v>
      </c>
      <c r="AD10">
        <f t="shared" si="9"/>
        <v>0.28599999999999998</v>
      </c>
      <c r="AE10" t="e">
        <f t="shared" si="9"/>
        <v>#N/A</v>
      </c>
      <c r="AF10" t="e">
        <f t="shared" si="9"/>
        <v>#N/A</v>
      </c>
      <c r="AG10" t="e">
        <f t="shared" si="9"/>
        <v>#N/A</v>
      </c>
      <c r="AH10" t="e">
        <f t="shared" si="9"/>
        <v>#N/A</v>
      </c>
      <c r="AI10" t="e">
        <f t="shared" si="9"/>
        <v>#N/A</v>
      </c>
    </row>
    <row r="11" spans="1:35">
      <c r="A11" s="349"/>
      <c r="B11" s="344"/>
      <c r="C11" s="329"/>
      <c r="D11" s="329"/>
      <c r="E11" s="329"/>
      <c r="F11" s="333"/>
      <c r="G11" s="329"/>
      <c r="H11" s="14" t="s">
        <v>30</v>
      </c>
      <c r="I11" s="45">
        <v>2.6</v>
      </c>
      <c r="J11" s="45">
        <v>1.9</v>
      </c>
      <c r="K11" s="45">
        <v>3.6</v>
      </c>
      <c r="L11" s="45">
        <v>2.9</v>
      </c>
      <c r="M11" s="45">
        <v>1.2</v>
      </c>
      <c r="N11" s="45">
        <v>2</v>
      </c>
      <c r="O11" s="45">
        <v>1.2</v>
      </c>
      <c r="P11" s="45">
        <v>1.3</v>
      </c>
      <c r="Q11" s="45"/>
      <c r="R11" s="45"/>
      <c r="S11" s="45"/>
      <c r="T11" s="45"/>
      <c r="W11" t="s">
        <v>90</v>
      </c>
      <c r="X11" t="e">
        <f t="shared" ref="X11:AI11" si="10">IF(I25&lt;&gt;"",IF($F24="Higher the better",IF(I25&gt;=I24,I25,NA()),IF(I25&lt;=I24,I25,NA())),NA())</f>
        <v>#N/A</v>
      </c>
      <c r="Y11" t="e">
        <f t="shared" si="10"/>
        <v>#N/A</v>
      </c>
      <c r="Z11" t="e">
        <f t="shared" si="10"/>
        <v>#N/A</v>
      </c>
      <c r="AA11">
        <f t="shared" si="10"/>
        <v>0.436</v>
      </c>
      <c r="AB11">
        <f t="shared" si="10"/>
        <v>0.42799999999999999</v>
      </c>
      <c r="AC11" t="e">
        <f t="shared" si="10"/>
        <v>#N/A</v>
      </c>
      <c r="AD11">
        <f t="shared" si="10"/>
        <v>0.434</v>
      </c>
      <c r="AE11" t="e">
        <f t="shared" si="10"/>
        <v>#N/A</v>
      </c>
      <c r="AF11" t="e">
        <f t="shared" si="10"/>
        <v>#N/A</v>
      </c>
      <c r="AG11" t="e">
        <f t="shared" si="10"/>
        <v>#N/A</v>
      </c>
      <c r="AH11" t="e">
        <f t="shared" si="10"/>
        <v>#N/A</v>
      </c>
      <c r="AI11" t="e">
        <f t="shared" si="10"/>
        <v>#N/A</v>
      </c>
    </row>
    <row r="12" spans="1:35" ht="18.600000000000001">
      <c r="A12" s="31" t="s">
        <v>112</v>
      </c>
      <c r="G12" s="38"/>
      <c r="I12" s="43"/>
      <c r="J12" s="43"/>
      <c r="K12" s="43"/>
      <c r="L12" s="43"/>
      <c r="M12" s="43"/>
      <c r="N12" s="43"/>
      <c r="O12" s="43"/>
      <c r="P12" s="43"/>
      <c r="Q12" s="43"/>
      <c r="R12" s="43"/>
      <c r="S12" s="43"/>
      <c r="T12" s="43"/>
      <c r="W12" t="s">
        <v>91</v>
      </c>
      <c r="X12">
        <f t="shared" ref="X12:AI12" si="11">IF(I25&lt;&gt;"",IF($F24="Higher the better",IF(I25&lt;I24,I25,NA()),IF(I25&gt;I24,I25,NA())),NA())</f>
        <v>0.29399999999999998</v>
      </c>
      <c r="Y12">
        <f t="shared" si="11"/>
        <v>0.316</v>
      </c>
      <c r="Z12">
        <f t="shared" si="11"/>
        <v>0.29299999999999998</v>
      </c>
      <c r="AA12" t="e">
        <f t="shared" si="11"/>
        <v>#N/A</v>
      </c>
      <c r="AB12" t="e">
        <f t="shared" si="11"/>
        <v>#N/A</v>
      </c>
      <c r="AC12">
        <f t="shared" si="11"/>
        <v>0.28499999999999998</v>
      </c>
      <c r="AD12" t="e">
        <f t="shared" si="11"/>
        <v>#N/A</v>
      </c>
      <c r="AE12">
        <f t="shared" si="11"/>
        <v>0.32900000000000001</v>
      </c>
      <c r="AF12" t="e">
        <f t="shared" si="11"/>
        <v>#N/A</v>
      </c>
      <c r="AG12" t="e">
        <f t="shared" si="11"/>
        <v>#N/A</v>
      </c>
      <c r="AH12" t="e">
        <f t="shared" si="11"/>
        <v>#N/A</v>
      </c>
      <c r="AI12" t="e">
        <f t="shared" si="11"/>
        <v>#N/A</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3.5" customHeight="1">
      <c r="A14" s="348" t="s">
        <v>806</v>
      </c>
      <c r="B14" s="343" t="s">
        <v>807</v>
      </c>
      <c r="C14" s="328" t="s">
        <v>97</v>
      </c>
      <c r="D14" s="336">
        <f>D8*3</f>
        <v>126</v>
      </c>
      <c r="E14" s="328" t="s">
        <v>54</v>
      </c>
      <c r="F14" s="336" t="s">
        <v>99</v>
      </c>
      <c r="G14" s="328" t="s">
        <v>55</v>
      </c>
      <c r="H14" s="14" t="s">
        <v>29</v>
      </c>
      <c r="I14" s="44">
        <f>3*I8</f>
        <v>9</v>
      </c>
      <c r="J14" s="44">
        <f t="shared" ref="J14:T14" si="12">3*J8</f>
        <v>4.8000000000000007</v>
      </c>
      <c r="K14" s="44">
        <f t="shared" si="12"/>
        <v>11.7</v>
      </c>
      <c r="L14" s="44">
        <f t="shared" si="12"/>
        <v>9.3000000000000007</v>
      </c>
      <c r="M14" s="44">
        <f t="shared" si="12"/>
        <v>6.3000000000000007</v>
      </c>
      <c r="N14" s="44">
        <f t="shared" si="12"/>
        <v>13.200000000000001</v>
      </c>
      <c r="O14" s="44">
        <f t="shared" si="12"/>
        <v>8.6999999999999993</v>
      </c>
      <c r="P14" s="44">
        <v>9</v>
      </c>
      <c r="Q14" s="44">
        <f t="shared" si="12"/>
        <v>13.5</v>
      </c>
      <c r="R14" s="44">
        <f t="shared" si="12"/>
        <v>11.399999999999999</v>
      </c>
      <c r="S14" s="44">
        <f t="shared" si="12"/>
        <v>14.100000000000001</v>
      </c>
      <c r="T14" s="44">
        <f t="shared" si="12"/>
        <v>21.299999999999997</v>
      </c>
    </row>
    <row r="15" spans="1:35" ht="14.85" customHeight="1">
      <c r="A15" s="344"/>
      <c r="B15" s="344"/>
      <c r="C15" s="329"/>
      <c r="D15" s="329"/>
      <c r="E15" s="329"/>
      <c r="F15" s="333"/>
      <c r="G15" s="329"/>
      <c r="H15" s="14" t="s">
        <v>30</v>
      </c>
      <c r="I15" s="45">
        <v>4.5999999999999996</v>
      </c>
      <c r="J15" s="45">
        <v>8.1</v>
      </c>
      <c r="K15" s="45">
        <v>12.7</v>
      </c>
      <c r="L15" s="45">
        <v>7.2</v>
      </c>
      <c r="M15" s="45">
        <v>3.5</v>
      </c>
      <c r="N15" s="45">
        <v>12</v>
      </c>
      <c r="O15" s="45">
        <v>9</v>
      </c>
      <c r="P15" s="45">
        <v>6</v>
      </c>
      <c r="Q15" s="45">
        <v>9.1999999999999993</v>
      </c>
      <c r="R15" s="45"/>
      <c r="S15" s="45"/>
      <c r="T15" s="45"/>
    </row>
    <row r="16" spans="1:35">
      <c r="A16" s="348" t="s">
        <v>808</v>
      </c>
      <c r="B16" s="348" t="s">
        <v>809</v>
      </c>
      <c r="C16" s="328" t="s">
        <v>120</v>
      </c>
      <c r="D16" s="363">
        <v>0.63</v>
      </c>
      <c r="E16" s="328" t="s">
        <v>98</v>
      </c>
      <c r="F16" s="336" t="s">
        <v>99</v>
      </c>
      <c r="G16" s="328" t="s">
        <v>55</v>
      </c>
      <c r="H16" s="14" t="s">
        <v>29</v>
      </c>
      <c r="I16" s="4">
        <v>0.52</v>
      </c>
      <c r="J16" s="4">
        <v>0.5</v>
      </c>
      <c r="K16" s="4">
        <v>0.51</v>
      </c>
      <c r="L16" s="4">
        <v>0.51</v>
      </c>
      <c r="M16" s="4">
        <v>0.52</v>
      </c>
      <c r="N16" s="4">
        <v>0.54</v>
      </c>
      <c r="O16" s="4">
        <v>0.54</v>
      </c>
      <c r="P16" s="4">
        <v>0.55000000000000004</v>
      </c>
      <c r="Q16" s="4">
        <v>0.56999999999999995</v>
      </c>
      <c r="R16" s="4">
        <v>0.56999999999999995</v>
      </c>
      <c r="S16" s="4">
        <v>0.57999999999999996</v>
      </c>
      <c r="T16" s="4">
        <v>0.6</v>
      </c>
    </row>
    <row r="17" spans="1:20">
      <c r="A17" s="344"/>
      <c r="B17" s="344"/>
      <c r="C17" s="329"/>
      <c r="D17" s="329"/>
      <c r="E17" s="329"/>
      <c r="F17" s="333"/>
      <c r="G17" s="329"/>
      <c r="H17" s="14" t="s">
        <v>30</v>
      </c>
      <c r="I17" s="5">
        <v>0.52</v>
      </c>
      <c r="J17" s="5">
        <v>0.5</v>
      </c>
      <c r="K17" s="5">
        <v>0.51</v>
      </c>
      <c r="L17" s="5">
        <v>0.504</v>
      </c>
      <c r="M17" s="5">
        <v>0.50600000000000001</v>
      </c>
      <c r="N17" s="5">
        <v>0.53</v>
      </c>
      <c r="O17" s="5">
        <v>0.54</v>
      </c>
      <c r="P17" s="45"/>
      <c r="Q17" s="45"/>
      <c r="R17" s="45"/>
      <c r="S17" s="45"/>
      <c r="T17" s="45"/>
    </row>
    <row r="18" spans="1:20">
      <c r="A18" s="348" t="s">
        <v>810</v>
      </c>
      <c r="B18" s="354" t="s">
        <v>811</v>
      </c>
      <c r="C18" s="328" t="s">
        <v>120</v>
      </c>
      <c r="D18" s="595">
        <v>10</v>
      </c>
      <c r="E18" s="328" t="s">
        <v>54</v>
      </c>
      <c r="F18" s="336" t="s">
        <v>99</v>
      </c>
      <c r="G18" s="328" t="s">
        <v>55</v>
      </c>
      <c r="H18" s="14" t="s">
        <v>29</v>
      </c>
      <c r="I18" s="4">
        <v>0.6</v>
      </c>
      <c r="J18" s="4">
        <v>0.8</v>
      </c>
      <c r="K18" s="4">
        <v>1</v>
      </c>
      <c r="L18" s="4">
        <v>0.6</v>
      </c>
      <c r="M18" s="4">
        <v>0.8</v>
      </c>
      <c r="N18" s="4">
        <v>1</v>
      </c>
      <c r="O18" s="4">
        <v>0.6</v>
      </c>
      <c r="P18" s="4">
        <v>0.8</v>
      </c>
      <c r="Q18" s="4">
        <v>1</v>
      </c>
      <c r="R18" s="4">
        <v>0.6</v>
      </c>
      <c r="S18" s="4">
        <v>0.8</v>
      </c>
      <c r="T18" s="4">
        <v>1</v>
      </c>
    </row>
    <row r="19" spans="1:20" ht="26.85" customHeight="1">
      <c r="A19" s="344"/>
      <c r="B19" s="382"/>
      <c r="C19" s="329"/>
      <c r="D19" s="500"/>
      <c r="E19" s="329"/>
      <c r="F19" s="333"/>
      <c r="G19" s="329"/>
      <c r="H19" s="14" t="s">
        <v>30</v>
      </c>
      <c r="I19" s="5">
        <v>0.6</v>
      </c>
      <c r="J19" s="5">
        <v>0.81</v>
      </c>
      <c r="K19" s="5">
        <v>1.05</v>
      </c>
      <c r="L19" s="5">
        <v>0.37</v>
      </c>
      <c r="M19" s="5">
        <v>0.42</v>
      </c>
      <c r="N19" s="5">
        <v>0.7</v>
      </c>
      <c r="O19" s="5">
        <v>0.6</v>
      </c>
      <c r="P19" s="5">
        <v>0.63</v>
      </c>
      <c r="Q19" s="5">
        <v>0.67</v>
      </c>
      <c r="R19" s="45"/>
      <c r="S19" s="45"/>
      <c r="T19" s="45"/>
    </row>
    <row r="20" spans="1:20">
      <c r="A20" s="348" t="s">
        <v>812</v>
      </c>
      <c r="B20" s="348" t="s">
        <v>813</v>
      </c>
      <c r="C20" s="328" t="s">
        <v>120</v>
      </c>
      <c r="D20" s="363">
        <v>0.31</v>
      </c>
      <c r="E20" s="328" t="s">
        <v>98</v>
      </c>
      <c r="F20" s="336" t="s">
        <v>99</v>
      </c>
      <c r="G20" s="328" t="s">
        <v>55</v>
      </c>
      <c r="H20" s="14" t="s">
        <v>29</v>
      </c>
      <c r="I20" s="4">
        <v>0.31</v>
      </c>
      <c r="J20" s="4">
        <v>0.31</v>
      </c>
      <c r="K20" s="4">
        <v>0.31</v>
      </c>
      <c r="L20" s="4">
        <v>0.31</v>
      </c>
      <c r="M20" s="4">
        <v>0.31</v>
      </c>
      <c r="N20" s="4">
        <v>0.31</v>
      </c>
      <c r="O20" s="4">
        <v>0.31</v>
      </c>
      <c r="P20" s="4">
        <v>0.31</v>
      </c>
      <c r="Q20" s="4">
        <v>0.31</v>
      </c>
      <c r="R20" s="4">
        <v>0.31</v>
      </c>
      <c r="S20" s="4">
        <v>0.31</v>
      </c>
      <c r="T20" s="4">
        <v>0.31</v>
      </c>
    </row>
    <row r="21" spans="1:20">
      <c r="A21" s="344"/>
      <c r="B21" s="344"/>
      <c r="C21" s="329"/>
      <c r="D21" s="329"/>
      <c r="E21" s="329"/>
      <c r="F21" s="333"/>
      <c r="G21" s="329"/>
      <c r="H21" s="14" t="s">
        <v>30</v>
      </c>
      <c r="I21" s="5">
        <v>0.25</v>
      </c>
      <c r="J21" s="5">
        <v>0.42</v>
      </c>
      <c r="K21" s="5">
        <v>0.47</v>
      </c>
      <c r="L21" s="5">
        <v>0.38900000000000001</v>
      </c>
      <c r="M21" s="5">
        <v>0.154</v>
      </c>
      <c r="N21" s="5">
        <v>0.45700000000000002</v>
      </c>
      <c r="O21" s="5">
        <v>0.16</v>
      </c>
      <c r="P21" s="5">
        <v>0.22600000000000001</v>
      </c>
      <c r="Q21" s="5"/>
      <c r="R21" s="5"/>
      <c r="S21" s="5"/>
      <c r="T21" s="5"/>
    </row>
    <row r="22" spans="1:20">
      <c r="A22" s="348" t="s">
        <v>814</v>
      </c>
      <c r="B22" s="354" t="s">
        <v>815</v>
      </c>
      <c r="C22" s="328" t="s">
        <v>120</v>
      </c>
      <c r="D22" s="363">
        <v>0.45</v>
      </c>
      <c r="E22" s="328" t="s">
        <v>98</v>
      </c>
      <c r="F22" s="336" t="s">
        <v>99</v>
      </c>
      <c r="G22" s="328" t="s">
        <v>55</v>
      </c>
      <c r="H22" s="14" t="s">
        <v>29</v>
      </c>
      <c r="I22" s="4">
        <v>0.28000000000000003</v>
      </c>
      <c r="J22" s="4">
        <v>0.28000000000000003</v>
      </c>
      <c r="K22" s="4">
        <v>0.28000000000000003</v>
      </c>
      <c r="L22" s="4">
        <v>0.35</v>
      </c>
      <c r="M22" s="4">
        <v>0.35</v>
      </c>
      <c r="N22" s="4">
        <v>0.35</v>
      </c>
      <c r="O22" s="4">
        <v>0.4</v>
      </c>
      <c r="P22" s="4">
        <v>0.4</v>
      </c>
      <c r="Q22" s="4">
        <v>0.4</v>
      </c>
      <c r="R22" s="4">
        <v>0.45</v>
      </c>
      <c r="S22" s="4">
        <v>0.45</v>
      </c>
      <c r="T22" s="4">
        <v>0.45</v>
      </c>
    </row>
    <row r="23" spans="1:20" ht="15.6" customHeight="1">
      <c r="A23" s="344"/>
      <c r="B23" s="382"/>
      <c r="C23" s="329"/>
      <c r="D23" s="481"/>
      <c r="E23" s="329"/>
      <c r="F23" s="333"/>
      <c r="G23" s="329"/>
      <c r="H23" s="14" t="s">
        <v>30</v>
      </c>
      <c r="I23" s="5">
        <v>0.4</v>
      </c>
      <c r="J23" s="5">
        <v>0.58799999999999997</v>
      </c>
      <c r="K23" s="5">
        <v>0.6</v>
      </c>
      <c r="L23" s="67">
        <v>0.58299999999999996</v>
      </c>
      <c r="M23" s="67">
        <v>0.66700000000000004</v>
      </c>
      <c r="N23" s="67">
        <v>0.33300000000000002</v>
      </c>
      <c r="O23" s="67">
        <v>0.28599999999999998</v>
      </c>
      <c r="P23" s="45"/>
      <c r="Q23" s="45"/>
      <c r="R23" s="45"/>
      <c r="S23" s="45"/>
      <c r="T23" s="45"/>
    </row>
    <row r="24" spans="1:20">
      <c r="A24" s="348" t="s">
        <v>615</v>
      </c>
      <c r="B24" s="354" t="s">
        <v>816</v>
      </c>
      <c r="C24" s="328" t="s">
        <v>97</v>
      </c>
      <c r="D24" s="353">
        <v>0.41299999999999998</v>
      </c>
      <c r="E24" s="328" t="s">
        <v>98</v>
      </c>
      <c r="F24" s="336" t="s">
        <v>99</v>
      </c>
      <c r="G24" s="328" t="s">
        <v>55</v>
      </c>
      <c r="H24" s="14" t="s">
        <v>29</v>
      </c>
      <c r="I24" s="51">
        <v>0.35199999999999998</v>
      </c>
      <c r="J24" s="51">
        <v>0.32100000000000001</v>
      </c>
      <c r="K24" s="51">
        <v>0.34200000000000003</v>
      </c>
      <c r="L24" s="51">
        <v>0.36299999999999999</v>
      </c>
      <c r="M24" s="51">
        <v>0.35199999999999998</v>
      </c>
      <c r="N24" s="51">
        <v>0.35499999999999998</v>
      </c>
      <c r="O24" s="51">
        <v>0.35699999999999998</v>
      </c>
      <c r="P24" s="51">
        <v>0.36299999999999999</v>
      </c>
      <c r="Q24" s="51">
        <v>0.33700000000000002</v>
      </c>
      <c r="R24" s="51">
        <v>0.33800000000000002</v>
      </c>
      <c r="S24" s="51">
        <v>0.35099999999999998</v>
      </c>
      <c r="T24" s="51">
        <v>0.36199999999999999</v>
      </c>
    </row>
    <row r="25" spans="1:20" ht="13.5" customHeight="1">
      <c r="A25" s="349"/>
      <c r="B25" s="382"/>
      <c r="C25" s="329"/>
      <c r="D25" s="329"/>
      <c r="E25" s="329"/>
      <c r="F25" s="333"/>
      <c r="G25" s="329"/>
      <c r="H25" s="14" t="s">
        <v>30</v>
      </c>
      <c r="I25" s="67">
        <v>0.29399999999999998</v>
      </c>
      <c r="J25" s="67">
        <v>0.316</v>
      </c>
      <c r="K25" s="67">
        <v>0.29299999999999998</v>
      </c>
      <c r="L25" s="67">
        <v>0.436</v>
      </c>
      <c r="M25" s="67">
        <v>0.42799999999999999</v>
      </c>
      <c r="N25" s="67">
        <v>0.28499999999999998</v>
      </c>
      <c r="O25" s="67">
        <v>0.434</v>
      </c>
      <c r="P25" s="67">
        <v>0.32900000000000001</v>
      </c>
      <c r="Q25" s="67"/>
      <c r="R25" s="67"/>
      <c r="S25" s="67"/>
      <c r="T25" s="67"/>
    </row>
    <row r="26" spans="1:20" ht="15" customHeight="1">
      <c r="E26" s="32" t="s">
        <v>86</v>
      </c>
      <c r="H26" s="33" t="str">
        <f>IF(OR($F15="Lower the better",$F15="Lower the Better"),
    IF(I15&gt;I14,$A14,""),
    IF(OR($F15="Higher the better",$F15="Higher the Better"),
       IF(I15&lt;I14,$A14,""),
       ""
    )
)</f>
        <v/>
      </c>
    </row>
    <row r="27" spans="1:20" ht="21">
      <c r="A27" s="10" t="s">
        <v>217</v>
      </c>
      <c r="B27"/>
    </row>
    <row r="28" spans="1:20">
      <c r="A28" s="28"/>
      <c r="B28"/>
    </row>
    <row r="29" spans="1:20">
      <c r="A29" s="28"/>
      <c r="B29"/>
    </row>
    <row r="30" spans="1:20">
      <c r="A30" s="28"/>
      <c r="B30"/>
    </row>
    <row r="31" spans="1:20">
      <c r="A31" s="28"/>
      <c r="B31"/>
    </row>
    <row r="32" spans="1:20">
      <c r="A32" s="28"/>
      <c r="B32"/>
    </row>
    <row r="33" spans="1:6">
      <c r="A33" s="28"/>
      <c r="B33"/>
    </row>
    <row r="34" spans="1:6">
      <c r="A34" s="28"/>
      <c r="B34"/>
    </row>
    <row r="35" spans="1:6">
      <c r="A35" s="28"/>
      <c r="B35"/>
    </row>
    <row r="36" spans="1:6">
      <c r="A36" s="28"/>
      <c r="B36"/>
    </row>
    <row r="37" spans="1:6">
      <c r="A37" s="28"/>
      <c r="B37"/>
    </row>
    <row r="38" spans="1:6">
      <c r="A38" s="28"/>
      <c r="B38"/>
    </row>
    <row r="39" spans="1:6">
      <c r="A39" s="28"/>
      <c r="B39"/>
    </row>
    <row r="40" spans="1:6">
      <c r="A40" s="28"/>
      <c r="B40"/>
    </row>
    <row r="41" spans="1:6">
      <c r="A41" s="28"/>
      <c r="B41"/>
    </row>
    <row r="42" spans="1:6">
      <c r="A42" s="28"/>
      <c r="B42"/>
    </row>
    <row r="43" spans="1:6">
      <c r="A43" s="28"/>
      <c r="B43"/>
    </row>
    <row r="44" spans="1:6" ht="21">
      <c r="A44" s="356" t="s">
        <v>123</v>
      </c>
      <c r="B44" s="356"/>
      <c r="C44" s="356"/>
      <c r="D44" s="356"/>
      <c r="E44" s="356"/>
    </row>
    <row r="45" spans="1:6">
      <c r="A45" s="28"/>
      <c r="B45"/>
    </row>
    <row r="46" spans="1:6" ht="21">
      <c r="A46" s="347" t="s">
        <v>124</v>
      </c>
      <c r="B46" s="347"/>
    </row>
    <row r="47" spans="1:6" ht="20.100000000000001" customHeight="1">
      <c r="A47" s="357" t="s">
        <v>125</v>
      </c>
      <c r="B47" s="359" t="s">
        <v>126</v>
      </c>
      <c r="C47" s="359"/>
      <c r="D47" s="359"/>
      <c r="E47" s="359"/>
      <c r="F47" s="359"/>
    </row>
    <row r="48" spans="1:6" ht="15" customHeight="1">
      <c r="A48" s="358"/>
      <c r="B48" s="25" t="s">
        <v>127</v>
      </c>
      <c r="C48" s="25" t="s">
        <v>128</v>
      </c>
      <c r="D48" s="25" t="s">
        <v>129</v>
      </c>
      <c r="E48" s="25" t="s">
        <v>130</v>
      </c>
      <c r="F48" s="25" t="s">
        <v>131</v>
      </c>
    </row>
    <row r="49" spans="1:6" ht="19.350000000000001" customHeight="1">
      <c r="A49" s="40" t="s">
        <v>816</v>
      </c>
      <c r="B49" s="41" t="s">
        <v>817</v>
      </c>
      <c r="C49" s="41" t="s">
        <v>818</v>
      </c>
      <c r="D49" s="41" t="s">
        <v>819</v>
      </c>
      <c r="E49" s="41"/>
      <c r="F49" s="41"/>
    </row>
    <row r="50" spans="1:6" ht="19.350000000000001" customHeight="1">
      <c r="A50" s="27" t="s">
        <v>135</v>
      </c>
      <c r="B50" s="42">
        <v>0.39</v>
      </c>
      <c r="C50" s="42">
        <v>0.72</v>
      </c>
      <c r="D50" s="42">
        <v>0.27</v>
      </c>
      <c r="E50" s="42"/>
      <c r="F50" s="42"/>
    </row>
    <row r="51" spans="1:6" ht="19.350000000000001" customHeight="1">
      <c r="A51" s="25" t="s">
        <v>136</v>
      </c>
      <c r="B51" s="25" t="s">
        <v>127</v>
      </c>
      <c r="C51" s="25" t="s">
        <v>128</v>
      </c>
      <c r="D51" s="25" t="s">
        <v>129</v>
      </c>
      <c r="E51" s="25" t="s">
        <v>130</v>
      </c>
      <c r="F51" s="25" t="s">
        <v>131</v>
      </c>
    </row>
    <row r="52" spans="1:6" ht="19.350000000000001" customHeight="1">
      <c r="A52" s="27"/>
      <c r="B52" s="41"/>
      <c r="C52" s="41"/>
      <c r="D52" s="41"/>
      <c r="E52" s="41"/>
      <c r="F52" s="41"/>
    </row>
    <row r="53" spans="1:6" ht="19.350000000000001" customHeight="1">
      <c r="A53" s="27" t="s">
        <v>135</v>
      </c>
      <c r="B53" s="42"/>
      <c r="C53" s="42"/>
      <c r="D53" s="42"/>
      <c r="E53" s="42"/>
      <c r="F53" s="42"/>
    </row>
    <row r="54" spans="1:6" ht="19.350000000000001" customHeight="1">
      <c r="A54" s="25" t="s">
        <v>136</v>
      </c>
      <c r="B54" s="25" t="s">
        <v>127</v>
      </c>
      <c r="C54" s="25" t="s">
        <v>128</v>
      </c>
      <c r="D54" s="25" t="s">
        <v>129</v>
      </c>
      <c r="E54" s="25" t="s">
        <v>130</v>
      </c>
      <c r="F54" s="25" t="s">
        <v>131</v>
      </c>
    </row>
    <row r="55" spans="1:6" ht="19.350000000000001" customHeight="1">
      <c r="A55" s="27"/>
      <c r="B55" s="41"/>
      <c r="C55" s="41"/>
      <c r="D55" s="41"/>
      <c r="E55" s="41"/>
      <c r="F55" s="41"/>
    </row>
    <row r="56" spans="1:6" ht="19.350000000000001" customHeight="1">
      <c r="A56" s="27" t="s">
        <v>135</v>
      </c>
      <c r="B56" s="42"/>
      <c r="C56" s="42"/>
      <c r="D56" s="42"/>
      <c r="E56" s="42"/>
      <c r="F56" s="42"/>
    </row>
    <row r="57" spans="1:6" ht="19.350000000000001" customHeight="1">
      <c r="A57" s="25" t="s">
        <v>136</v>
      </c>
      <c r="B57" s="25" t="s">
        <v>127</v>
      </c>
      <c r="C57" s="25" t="s">
        <v>128</v>
      </c>
      <c r="D57" s="25" t="s">
        <v>129</v>
      </c>
      <c r="E57" s="25" t="s">
        <v>130</v>
      </c>
      <c r="F57" s="25" t="s">
        <v>131</v>
      </c>
    </row>
    <row r="58" spans="1:6" ht="19.350000000000001" customHeight="1">
      <c r="A58" s="27"/>
      <c r="B58" s="41"/>
      <c r="C58" s="41"/>
      <c r="D58" s="41"/>
      <c r="E58" s="41"/>
      <c r="F58" s="41"/>
    </row>
    <row r="59" spans="1:6" ht="19.350000000000001" customHeight="1">
      <c r="A59" s="27" t="s">
        <v>135</v>
      </c>
      <c r="B59" s="42"/>
      <c r="C59" s="42"/>
      <c r="D59" s="42"/>
      <c r="E59" s="42"/>
      <c r="F59" s="42"/>
    </row>
    <row r="60" spans="1:6" ht="19.350000000000001" customHeight="1">
      <c r="A60" s="25" t="s">
        <v>136</v>
      </c>
      <c r="B60" s="25" t="s">
        <v>127</v>
      </c>
      <c r="C60" s="25" t="s">
        <v>128</v>
      </c>
      <c r="D60" s="25" t="s">
        <v>129</v>
      </c>
      <c r="E60" s="25" t="s">
        <v>130</v>
      </c>
      <c r="F60" s="25" t="s">
        <v>131</v>
      </c>
    </row>
    <row r="61" spans="1:6" ht="19.350000000000001" customHeight="1">
      <c r="A61" s="27"/>
      <c r="B61" s="41"/>
      <c r="C61" s="41"/>
      <c r="D61" s="41"/>
      <c r="E61" s="41"/>
      <c r="F61" s="41"/>
    </row>
    <row r="62" spans="1:6" ht="19.350000000000001" customHeight="1">
      <c r="A62" s="27" t="s">
        <v>135</v>
      </c>
      <c r="B62" s="42"/>
      <c r="C62" s="42"/>
      <c r="D62" s="42"/>
      <c r="E62" s="42"/>
      <c r="F62" s="42"/>
    </row>
    <row r="63" spans="1:6" ht="19.350000000000001" customHeight="1">
      <c r="A63" s="25" t="s">
        <v>136</v>
      </c>
      <c r="B63" s="25" t="s">
        <v>127</v>
      </c>
      <c r="C63" s="25" t="s">
        <v>128</v>
      </c>
      <c r="D63" s="25" t="s">
        <v>129</v>
      </c>
      <c r="E63" s="25" t="s">
        <v>130</v>
      </c>
      <c r="F63" s="25" t="s">
        <v>131</v>
      </c>
    </row>
    <row r="64" spans="1:6" ht="19.350000000000001" customHeight="1">
      <c r="A64" s="27"/>
      <c r="B64" s="41"/>
      <c r="C64" s="41"/>
      <c r="D64" s="41"/>
      <c r="E64" s="41"/>
      <c r="F64" s="41"/>
    </row>
    <row r="65" spans="1:6" ht="19.350000000000001" customHeight="1">
      <c r="A65" s="27" t="s">
        <v>135</v>
      </c>
      <c r="B65" s="42"/>
      <c r="C65" s="42"/>
      <c r="D65" s="42"/>
      <c r="E65" s="42"/>
      <c r="F65" s="42"/>
    </row>
    <row r="66" spans="1:6" ht="21">
      <c r="A66" s="10" t="s">
        <v>144</v>
      </c>
      <c r="B66"/>
    </row>
    <row r="67" spans="1:6">
      <c r="A67" s="28"/>
      <c r="B67"/>
    </row>
    <row r="68" spans="1:6">
      <c r="A68" s="28"/>
      <c r="B68"/>
    </row>
    <row r="69" spans="1:6">
      <c r="A69" s="28"/>
      <c r="B69"/>
    </row>
    <row r="70" spans="1:6">
      <c r="A70" s="28"/>
      <c r="B70"/>
    </row>
    <row r="71" spans="1:6">
      <c r="A71" s="28"/>
      <c r="B71"/>
    </row>
    <row r="72" spans="1:6">
      <c r="A72" s="28"/>
      <c r="B72"/>
    </row>
    <row r="73" spans="1:6">
      <c r="A73" s="28"/>
      <c r="B73"/>
    </row>
    <row r="74" spans="1:6">
      <c r="A74" s="28"/>
      <c r="B74"/>
    </row>
    <row r="75" spans="1:6">
      <c r="A75" s="28"/>
      <c r="B75"/>
    </row>
    <row r="76" spans="1:6">
      <c r="A76" s="28"/>
      <c r="B76"/>
    </row>
    <row r="77" spans="1:6">
      <c r="A77" s="28"/>
      <c r="B77"/>
    </row>
    <row r="78" spans="1:6">
      <c r="A78" s="28"/>
      <c r="B78"/>
    </row>
    <row r="79" spans="1:6">
      <c r="A79" s="28"/>
      <c r="B79"/>
    </row>
    <row r="80" spans="1:6">
      <c r="A80" s="28"/>
      <c r="B80"/>
    </row>
    <row r="81" spans="1:15" ht="15" thickBot="1">
      <c r="A81" s="28"/>
      <c r="B81"/>
    </row>
    <row r="82" spans="1:15" ht="18.95" thickBot="1">
      <c r="A82" s="360" t="s">
        <v>145</v>
      </c>
      <c r="B82" s="361"/>
      <c r="C82" s="361"/>
      <c r="D82" s="361"/>
      <c r="E82" s="361"/>
      <c r="F82" s="362"/>
      <c r="H82" s="364" t="s">
        <v>146</v>
      </c>
      <c r="I82" s="365"/>
      <c r="J82" s="365"/>
      <c r="K82" s="365"/>
      <c r="L82" s="365"/>
      <c r="M82" s="365"/>
      <c r="N82" s="365"/>
      <c r="O82" s="366"/>
    </row>
    <row r="83" spans="1:15" s="15" customFormat="1" ht="41.85" customHeight="1">
      <c r="A83" s="16" t="s">
        <v>136</v>
      </c>
      <c r="B83" s="17" t="s">
        <v>147</v>
      </c>
      <c r="C83" s="18" t="s">
        <v>148</v>
      </c>
      <c r="D83" s="19" t="s">
        <v>149</v>
      </c>
      <c r="E83" s="17" t="s">
        <v>150</v>
      </c>
      <c r="F83" s="20" t="s">
        <v>151</v>
      </c>
      <c r="G83"/>
      <c r="H83" s="21" t="s">
        <v>58</v>
      </c>
      <c r="I83" s="22" t="s">
        <v>152</v>
      </c>
      <c r="J83" s="22" t="s">
        <v>153</v>
      </c>
      <c r="K83" s="23" t="s">
        <v>154</v>
      </c>
      <c r="L83" s="23" t="s">
        <v>155</v>
      </c>
      <c r="M83" s="24" t="s">
        <v>156</v>
      </c>
      <c r="N83" s="23" t="s">
        <v>157</v>
      </c>
      <c r="O83" s="36" t="s">
        <v>158</v>
      </c>
    </row>
    <row r="84" spans="1:15" ht="16.5" customHeight="1">
      <c r="A84" s="330"/>
      <c r="B84" s="336"/>
      <c r="C84" s="336"/>
      <c r="D84" s="336"/>
      <c r="E84" s="337"/>
      <c r="F84" s="339">
        <v>1</v>
      </c>
      <c r="H84" s="330"/>
      <c r="I84" s="367"/>
      <c r="J84" s="367"/>
      <c r="K84" s="367"/>
      <c r="L84" s="367"/>
      <c r="M84" s="370" t="s">
        <v>338</v>
      </c>
      <c r="N84" s="367"/>
      <c r="O84" s="345"/>
    </row>
    <row r="85" spans="1:15" ht="18" customHeight="1">
      <c r="A85" s="331"/>
      <c r="B85" s="333"/>
      <c r="C85" s="333"/>
      <c r="D85" s="333"/>
      <c r="E85" s="338"/>
      <c r="F85" s="340"/>
      <c r="H85" s="331"/>
      <c r="I85" s="368"/>
      <c r="J85" s="368"/>
      <c r="K85" s="368"/>
      <c r="L85" s="368"/>
      <c r="M85" s="371"/>
      <c r="N85" s="368"/>
      <c r="O85" s="346"/>
    </row>
    <row r="86" spans="1:15" ht="17.100000000000001" customHeight="1">
      <c r="A86" s="330"/>
      <c r="B86" s="336"/>
      <c r="C86" s="336"/>
      <c r="D86" s="336"/>
      <c r="E86" s="337"/>
      <c r="F86" s="339">
        <v>1</v>
      </c>
      <c r="H86" s="330"/>
      <c r="I86" s="367"/>
      <c r="J86" s="367"/>
      <c r="K86" s="367"/>
      <c r="L86" s="367"/>
      <c r="M86" s="370" t="s">
        <v>820</v>
      </c>
      <c r="N86" s="367"/>
      <c r="O86" s="345"/>
    </row>
    <row r="87" spans="1:15" ht="17.100000000000001" customHeight="1">
      <c r="A87" s="331"/>
      <c r="B87" s="333"/>
      <c r="C87" s="333"/>
      <c r="D87" s="333"/>
      <c r="E87" s="338"/>
      <c r="F87" s="340"/>
      <c r="H87" s="331"/>
      <c r="I87" s="368"/>
      <c r="J87" s="368"/>
      <c r="K87" s="368"/>
      <c r="L87" s="368"/>
      <c r="M87" s="371"/>
      <c r="N87" s="368"/>
      <c r="O87" s="346"/>
    </row>
    <row r="88" spans="1:15" ht="17.100000000000001" customHeight="1">
      <c r="A88" s="330"/>
      <c r="B88" s="336"/>
      <c r="C88" s="336"/>
      <c r="D88" s="336"/>
      <c r="E88" s="337"/>
      <c r="F88" s="339">
        <v>1</v>
      </c>
      <c r="H88" s="330"/>
      <c r="I88" s="367"/>
      <c r="J88" s="367"/>
      <c r="K88" s="367"/>
      <c r="L88" s="367"/>
      <c r="M88" s="370"/>
      <c r="N88" s="367"/>
      <c r="O88" s="345"/>
    </row>
    <row r="89" spans="1:15" ht="16.5" customHeight="1">
      <c r="A89" s="331"/>
      <c r="B89" s="333"/>
      <c r="C89" s="333"/>
      <c r="D89" s="333"/>
      <c r="E89" s="338"/>
      <c r="F89" s="340"/>
      <c r="H89" s="331"/>
      <c r="I89" s="368"/>
      <c r="J89" s="368"/>
      <c r="K89" s="368"/>
      <c r="L89" s="368"/>
      <c r="M89" s="371"/>
      <c r="N89" s="368"/>
      <c r="O89" s="346"/>
    </row>
    <row r="90" spans="1:15" ht="16.5" customHeight="1">
      <c r="A90" s="330"/>
      <c r="B90" s="336"/>
      <c r="C90" s="336"/>
      <c r="D90" s="336"/>
      <c r="E90" s="337"/>
      <c r="F90" s="339">
        <v>1</v>
      </c>
      <c r="H90" s="330"/>
      <c r="I90" s="367"/>
      <c r="J90" s="367"/>
      <c r="K90" s="367"/>
      <c r="L90" s="367"/>
      <c r="M90" s="370"/>
      <c r="N90" s="367"/>
      <c r="O90" s="345"/>
    </row>
    <row r="91" spans="1:15" ht="16.5" customHeight="1">
      <c r="A91" s="331"/>
      <c r="B91" s="333"/>
      <c r="C91" s="333"/>
      <c r="D91" s="333"/>
      <c r="E91" s="338"/>
      <c r="F91" s="340"/>
      <c r="H91" s="331"/>
      <c r="I91" s="368"/>
      <c r="J91" s="368"/>
      <c r="K91" s="368"/>
      <c r="L91" s="368"/>
      <c r="M91" s="371"/>
      <c r="N91" s="368"/>
      <c r="O91" s="346"/>
    </row>
    <row r="92" spans="1:15" ht="16.5" customHeight="1">
      <c r="A92" s="330"/>
      <c r="B92" s="336"/>
      <c r="C92" s="336"/>
      <c r="D92" s="336"/>
      <c r="E92" s="337"/>
      <c r="F92" s="339">
        <v>1</v>
      </c>
      <c r="H92" s="330"/>
      <c r="I92" s="367"/>
      <c r="J92" s="367"/>
      <c r="K92" s="367"/>
      <c r="L92" s="367"/>
      <c r="M92" s="370"/>
      <c r="N92" s="367"/>
      <c r="O92" s="345"/>
    </row>
    <row r="93" spans="1:15" ht="16.5" customHeight="1">
      <c r="A93" s="331"/>
      <c r="B93" s="333"/>
      <c r="C93" s="333"/>
      <c r="D93" s="333"/>
      <c r="E93" s="338"/>
      <c r="F93" s="340"/>
      <c r="H93" s="331"/>
      <c r="I93" s="368"/>
      <c r="J93" s="368"/>
      <c r="K93" s="368"/>
      <c r="L93" s="368"/>
      <c r="M93" s="371"/>
      <c r="N93" s="368"/>
      <c r="O93" s="346"/>
    </row>
    <row r="94" spans="1:15" ht="16.5" customHeight="1">
      <c r="A94" s="330"/>
      <c r="B94" s="336"/>
      <c r="C94" s="336"/>
      <c r="D94" s="336"/>
      <c r="E94" s="337"/>
      <c r="F94" s="339">
        <v>1</v>
      </c>
      <c r="H94" s="330"/>
      <c r="I94" s="367"/>
      <c r="J94" s="367"/>
      <c r="K94" s="367"/>
      <c r="L94" s="367"/>
      <c r="M94" s="370"/>
      <c r="N94" s="367"/>
      <c r="O94" s="345"/>
    </row>
    <row r="95" spans="1:15" ht="17.100000000000001" customHeight="1" thickBot="1">
      <c r="A95" s="331"/>
      <c r="B95" s="384"/>
      <c r="C95" s="384"/>
      <c r="D95" s="384"/>
      <c r="E95" s="460"/>
      <c r="F95" s="340"/>
      <c r="H95" s="376"/>
      <c r="I95" s="379"/>
      <c r="J95" s="379"/>
      <c r="K95" s="379"/>
      <c r="L95" s="379"/>
      <c r="M95" s="380"/>
      <c r="N95" s="379"/>
      <c r="O95" s="381"/>
    </row>
    <row r="96" spans="1:15">
      <c r="A96" s="34" t="s">
        <v>195</v>
      </c>
      <c r="B96" s="34" t="s">
        <v>196</v>
      </c>
      <c r="C96" s="35" t="s">
        <v>197</v>
      </c>
      <c r="D96" s="35" t="s">
        <v>198</v>
      </c>
      <c r="E96" s="377" t="s">
        <v>199</v>
      </c>
      <c r="F96" s="378"/>
      <c r="G96" s="28"/>
    </row>
    <row r="97" spans="1:8">
      <c r="A97" s="28"/>
      <c r="C97" s="28"/>
      <c r="D97" s="28"/>
      <c r="E97" s="28"/>
      <c r="F97" s="28"/>
      <c r="G97" s="28"/>
    </row>
    <row r="98" spans="1:8">
      <c r="C98" s="28"/>
      <c r="D98" s="28"/>
      <c r="E98" s="28"/>
      <c r="F98" s="28"/>
      <c r="G98" s="28"/>
      <c r="H98" s="28"/>
    </row>
  </sheetData>
  <mergeCells count="155">
    <mergeCell ref="F94:F95"/>
    <mergeCell ref="H94:H95"/>
    <mergeCell ref="F92:F93"/>
    <mergeCell ref="H92:H93"/>
    <mergeCell ref="O94:O95"/>
    <mergeCell ref="E96:F96"/>
    <mergeCell ref="I94:I95"/>
    <mergeCell ref="J94:J95"/>
    <mergeCell ref="K94:K95"/>
    <mergeCell ref="L94:L95"/>
    <mergeCell ref="M94:M95"/>
    <mergeCell ref="N94:N95"/>
    <mergeCell ref="M92:M93"/>
    <mergeCell ref="N92:N93"/>
    <mergeCell ref="O92:O93"/>
    <mergeCell ref="I92:I93"/>
    <mergeCell ref="J92:J93"/>
    <mergeCell ref="K92:K93"/>
    <mergeCell ref="L92:L93"/>
    <mergeCell ref="A92:A93"/>
    <mergeCell ref="B92:B93"/>
    <mergeCell ref="C92:C93"/>
    <mergeCell ref="D92:D93"/>
    <mergeCell ref="E92:E93"/>
    <mergeCell ref="A94:A95"/>
    <mergeCell ref="B94:B95"/>
    <mergeCell ref="C94:C95"/>
    <mergeCell ref="D94:D95"/>
    <mergeCell ref="E94:E95"/>
    <mergeCell ref="K88:K89"/>
    <mergeCell ref="L88:L89"/>
    <mergeCell ref="M88:M89"/>
    <mergeCell ref="N88:N89"/>
    <mergeCell ref="K90:K91"/>
    <mergeCell ref="L90:L91"/>
    <mergeCell ref="M90:M91"/>
    <mergeCell ref="N90:N91"/>
    <mergeCell ref="O90:O91"/>
    <mergeCell ref="A90:A91"/>
    <mergeCell ref="B90:B91"/>
    <mergeCell ref="C90:C91"/>
    <mergeCell ref="D90:D91"/>
    <mergeCell ref="E90:E91"/>
    <mergeCell ref="F90:F91"/>
    <mergeCell ref="H90:H91"/>
    <mergeCell ref="I90:I91"/>
    <mergeCell ref="J90:J91"/>
    <mergeCell ref="A86:A87"/>
    <mergeCell ref="B86:B87"/>
    <mergeCell ref="C86:C87"/>
    <mergeCell ref="D86:D87"/>
    <mergeCell ref="E86:E87"/>
    <mergeCell ref="M86:M87"/>
    <mergeCell ref="N86:N87"/>
    <mergeCell ref="O86:O87"/>
    <mergeCell ref="A88:A89"/>
    <mergeCell ref="B88:B89"/>
    <mergeCell ref="C88:C89"/>
    <mergeCell ref="D88:D89"/>
    <mergeCell ref="E88:E89"/>
    <mergeCell ref="F88:F89"/>
    <mergeCell ref="H88:H89"/>
    <mergeCell ref="F86:F87"/>
    <mergeCell ref="H86:H87"/>
    <mergeCell ref="I86:I87"/>
    <mergeCell ref="J86:J87"/>
    <mergeCell ref="K86:K87"/>
    <mergeCell ref="L86:L87"/>
    <mergeCell ref="O88:O89"/>
    <mergeCell ref="I88:I89"/>
    <mergeCell ref="J88:J89"/>
    <mergeCell ref="H82:O82"/>
    <mergeCell ref="A84:A85"/>
    <mergeCell ref="B84:B85"/>
    <mergeCell ref="C84:C85"/>
    <mergeCell ref="D84:D85"/>
    <mergeCell ref="E84:E85"/>
    <mergeCell ref="F84:F85"/>
    <mergeCell ref="H84:H85"/>
    <mergeCell ref="I84:I85"/>
    <mergeCell ref="J84:J85"/>
    <mergeCell ref="K84:K85"/>
    <mergeCell ref="L84:L85"/>
    <mergeCell ref="M84:M85"/>
    <mergeCell ref="N84:N85"/>
    <mergeCell ref="O84:O85"/>
    <mergeCell ref="G24:G25"/>
    <mergeCell ref="A44:E44"/>
    <mergeCell ref="A46:B46"/>
    <mergeCell ref="A47:A48"/>
    <mergeCell ref="B47:F47"/>
    <mergeCell ref="A82:F82"/>
    <mergeCell ref="A24:A25"/>
    <mergeCell ref="B24:B25"/>
    <mergeCell ref="C24:C25"/>
    <mergeCell ref="D24:D25"/>
    <mergeCell ref="E24:E25"/>
    <mergeCell ref="F24:F25"/>
    <mergeCell ref="G20:G21"/>
    <mergeCell ref="A22:A23"/>
    <mergeCell ref="B22:B23"/>
    <mergeCell ref="C22:C23"/>
    <mergeCell ref="D22:D23"/>
    <mergeCell ref="E22:E23"/>
    <mergeCell ref="F22:F23"/>
    <mergeCell ref="G22:G23"/>
    <mergeCell ref="A20:A21"/>
    <mergeCell ref="B20:B21"/>
    <mergeCell ref="C20:C21"/>
    <mergeCell ref="D20:D21"/>
    <mergeCell ref="E20:E21"/>
    <mergeCell ref="F20:F2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s>
  <conditionalFormatting sqref="A84:A95">
    <cfRule type="containsBlanks" dxfId="89" priority="16">
      <formula>LEN(TRIM(A84))=0</formula>
    </cfRule>
  </conditionalFormatting>
  <conditionalFormatting sqref="A49:F49 B50:F50">
    <cfRule type="containsBlanks" dxfId="88" priority="9">
      <formula>LEN(TRIM(A49))=0</formula>
    </cfRule>
  </conditionalFormatting>
  <conditionalFormatting sqref="A52:F52 B53:F53 A55:F55 B56:F56 A58:F58 B59:F59 A61:F61 B62:F62 A64:F64 B65:F65">
    <cfRule type="containsBlanks" dxfId="87" priority="15">
      <formula>LEN(TRIM(A52))=0</formula>
    </cfRule>
  </conditionalFormatting>
  <conditionalFormatting sqref="A6:G6 A8:G8 A10:G10">
    <cfRule type="containsBlanks" dxfId="86" priority="10">
      <formula>LEN(TRIM(A6))=0</formula>
    </cfRule>
  </conditionalFormatting>
  <conditionalFormatting sqref="A14:G14 A16:G16 A18:G18">
    <cfRule type="containsBlanks" dxfId="85" priority="28">
      <formula>LEN(TRIM(A14))=0</formula>
    </cfRule>
  </conditionalFormatting>
  <conditionalFormatting sqref="A20:G20">
    <cfRule type="containsBlanks" dxfId="84" priority="8">
      <formula>LEN(TRIM(A20))=0</formula>
    </cfRule>
  </conditionalFormatting>
  <conditionalFormatting sqref="A22:G22">
    <cfRule type="containsBlanks" dxfId="83" priority="7">
      <formula>LEN(TRIM(A22))=0</formula>
    </cfRule>
  </conditionalFormatting>
  <conditionalFormatting sqref="A24:G24">
    <cfRule type="containsBlanks" dxfId="82" priority="6">
      <formula>LEN(TRIM(A24))=0</formula>
    </cfRule>
  </conditionalFormatting>
  <conditionalFormatting sqref="B84:E84 B86:E86 B88:E88 B90:E90 B92:E92 B94:E94">
    <cfRule type="containsBlanks" dxfId="81" priority="23">
      <formula>LEN(TRIM(B84))=0</formula>
    </cfRule>
  </conditionalFormatting>
  <conditionalFormatting sqref="D1">
    <cfRule type="containsBlanks" dxfId="80" priority="11">
      <formula>LEN(TRIM(D1))=0</formula>
    </cfRule>
  </conditionalFormatting>
  <conditionalFormatting sqref="F1">
    <cfRule type="containsBlanks" dxfId="79" priority="31">
      <formula>LEN(TRIM(F1))=0</formula>
    </cfRule>
  </conditionalFormatting>
  <conditionalFormatting sqref="F84 F86 F88 F90 F92 F94">
    <cfRule type="iconSet" priority="29">
      <iconSet iconSet="5Quarters" showValue="0">
        <cfvo type="percent" val="0"/>
        <cfvo type="num" val="2"/>
        <cfvo type="num" val="3"/>
        <cfvo type="num" val="4"/>
        <cfvo type="num" val="5"/>
      </iconSet>
    </cfRule>
    <cfRule type="expression" dxfId="78" priority="30">
      <formula>AND(#REF!&lt;&gt;"",E84&lt;TODAY(),F84&lt;4)</formula>
    </cfRule>
  </conditionalFormatting>
  <conditionalFormatting sqref="H84:H95">
    <cfRule type="containsBlanks" dxfId="77" priority="14">
      <formula>LEN(TRIM(H84))=0</formula>
    </cfRule>
  </conditionalFormatting>
  <conditionalFormatting sqref="I84:O84 I86:O86 I88:O88 I90:O90 I92:O92 I94:O94">
    <cfRule type="containsBlanks" dxfId="76" priority="22">
      <formula>LEN(TRIM(I84))=0</formula>
    </cfRule>
  </conditionalFormatting>
  <conditionalFormatting sqref="I7:T7 I9:T9 I11:T11 I17:T17 I19:T19 I21:T21 I23:T23 I25:T25">
    <cfRule type="expression" dxfId="75" priority="18">
      <formula>AND(OR($F6="Lower the better", $F6="Lower the Better"), I7&gt;I6)</formula>
    </cfRule>
    <cfRule type="expression" dxfId="74" priority="19">
      <formula>AND(OR($F6="Lower the better", $F6="Lower the Better"), I7&lt;=I6)</formula>
    </cfRule>
    <cfRule type="expression" dxfId="73" priority="20">
      <formula>AND(OR($F6="Higher the better", $F6="Higher the Better"), I7&lt;I6)</formula>
    </cfRule>
    <cfRule type="expression" dxfId="72" priority="21" stopIfTrue="1">
      <formula>AND(OR($F6="Higher the better", $F6="Higher the Better"), I7&gt;=I6)</formula>
    </cfRule>
  </conditionalFormatting>
  <conditionalFormatting sqref="I7:T7 I9:T9 I11:T11">
    <cfRule type="containsBlanks" dxfId="71" priority="17">
      <formula>LEN(TRIM(I7))=0</formula>
    </cfRule>
  </conditionalFormatting>
  <conditionalFormatting sqref="I15:T15 I17:T17 I19:T19 I21:T21 I23:T23 I25:T25">
    <cfRule type="containsBlanks" dxfId="70" priority="1">
      <formula>LEN(TRIM(I15))=0</formula>
    </cfRule>
  </conditionalFormatting>
  <conditionalFormatting sqref="I15:T15">
    <cfRule type="expression" dxfId="69" priority="2">
      <formula>AND(OR($F14="Lower the better", $F14="Lower the Better"), I15&gt;I14)</formula>
    </cfRule>
    <cfRule type="expression" dxfId="68" priority="3">
      <formula>AND(OR($F14="Lower the better", $F14="Lower the Better"), I15&lt;=I14)</formula>
    </cfRule>
    <cfRule type="expression" dxfId="67" priority="4">
      <formula>AND(OR($F14="Higher the better", $F14="Higher the Better"), I15&lt;I14)</formula>
    </cfRule>
    <cfRule type="expression" dxfId="66" priority="5" stopIfTrue="1">
      <formula>AND(OR($F14="Higher the better", $F14="Higher the Better"), I15&gt;=I14)</formula>
    </cfRule>
    <cfRule type="expression" dxfId="65" priority="24">
      <formula>AND(OR($F14="Lower the better", $F14="Lower the Better"), I15&gt;I14)</formula>
    </cfRule>
    <cfRule type="expression" dxfId="64" priority="25">
      <formula>AND(OR($F14="Lower the better", $F14="Lower the Better"), I15&lt;=I14)</formula>
    </cfRule>
    <cfRule type="expression" dxfId="63" priority="26">
      <formula>AND(OR($F14="Higher the better", $F14="Higher the Better"), I15&lt;I14)</formula>
    </cfRule>
    <cfRule type="expression" dxfId="62" priority="27" stopIfTrue="1">
      <formula>AND(OR($F14="Higher the better", $F14="Higher the Better"), I15&gt;=I14)</formula>
    </cfRule>
  </conditionalFormatting>
  <conditionalFormatting sqref="M84:M95">
    <cfRule type="containsText" dxfId="61" priority="12" operator="containsText" text="No">
      <formula>NOT(ISERROR(SEARCH("No",M84)))</formula>
    </cfRule>
    <cfRule type="containsText" dxfId="60" priority="13" operator="containsText" text="Yes">
      <formula>NOT(ISERROR(SEARCH("Yes",M84)))</formula>
    </cfRule>
  </conditionalFormatting>
  <dataValidations disablePrompts="1" count="7">
    <dataValidation type="list" allowBlank="1" showInputMessage="1" showErrorMessage="1" sqref="E6:E11 E14:E25" xr:uid="{EF399022-659E-4C41-8F1F-79B6EE5FEA60}">
      <formula1>"%, Mn, No., "</formula1>
    </dataValidation>
    <dataValidation type="list" allowBlank="1" showInputMessage="1" showErrorMessage="1" sqref="B1:B2" xr:uid="{8A4C1F2D-94F6-489D-9E05-17F29B21C892}">
      <formula1>"Jan-2026, Feb-2026, Mar-2026, Apr-2026, May-2026, Jun-2026, Jul-2026, Aug-2026, Sep-2026, Oct-2026, Nov-2026, Dec-2026"</formula1>
    </dataValidation>
    <dataValidation type="list" allowBlank="1" showInputMessage="1" showErrorMessage="1" sqref="M84 M86 M88 M90 M92 M94" xr:uid="{9351696D-B144-4B90-B15A-8D4A071301DC}">
      <formula1>"Yes, No"</formula1>
    </dataValidation>
    <dataValidation type="list" allowBlank="1" showInputMessage="1" showErrorMessage="1" sqref="C6:C11 C14:C25" xr:uid="{E967C0D9-56BB-4085-899F-D28447CE8082}">
      <formula1>"&gt;, &lt;, &gt;=, &lt;=, ="</formula1>
    </dataValidation>
    <dataValidation type="list" allowBlank="1" showInputMessage="1" showErrorMessage="1" sqref="G6:G11 G14:G25" xr:uid="{56E950AC-B266-4F60-8BB7-58819A6B5EE9}">
      <formula1>"Monthly, Quarterly, Half yearly"</formula1>
    </dataValidation>
    <dataValidation type="list" allowBlank="1" showInputMessage="1" showErrorMessage="1" sqref="F6:F11 F14:F25" xr:uid="{BD37D868-EA9C-4AB3-BF88-DBC45CC4DEBB}">
      <formula1>"Higher the better, Lower the better"</formula1>
    </dataValidation>
    <dataValidation type="list" allowBlank="1" showInputMessage="1" showErrorMessage="1" sqref="F84:G84 F86:G86 F88:G88 F90:G90 F92:G92 F94:G94" xr:uid="{2EE4DC70-EE1A-4FA9-81DB-9D743EF50C62}">
      <formula1>"1,2,3,4,5"</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46B91-A7E6-4303-90DA-A6A99A27C928}">
  <sheetPr codeName="Sheet13"/>
  <dimension ref="A1:AI100"/>
  <sheetViews>
    <sheetView zoomScale="81" zoomScaleNormal="74" workbookViewId="0">
      <pane xSplit="8" topLeftCell="I1" activePane="topRight" state="frozen"/>
      <selection pane="topRight" activeCell="C29" sqref="C29"/>
      <selection activeCell="A13" sqref="A13"/>
    </sheetView>
  </sheetViews>
  <sheetFormatPr defaultRowHeight="14.45"/>
  <cols>
    <col min="1" max="1" width="19.5703125" customWidth="1"/>
    <col min="2" max="2" width="26.42578125" style="28" customWidth="1"/>
    <col min="3" max="3" width="20.42578125" customWidth="1"/>
    <col min="4" max="4" width="19.5703125" customWidth="1"/>
    <col min="5" max="5" width="22.5703125" customWidth="1"/>
    <col min="6" max="6" width="20.5703125" customWidth="1"/>
    <col min="7" max="7" width="9.7109375" bestFit="1" customWidth="1"/>
    <col min="8" max="8" width="12.5703125" bestFit="1"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3" width="11.42578125" hidden="1" customWidth="1"/>
    <col min="24" max="24" width="8.5703125" hidden="1" customWidth="1"/>
    <col min="25" max="25" width="14.42578125" hidden="1" customWidth="1"/>
    <col min="26" max="35" width="8.5703125" hidden="1" customWidth="1"/>
    <col min="36" max="49" width="8.5703125" customWidth="1"/>
  </cols>
  <sheetData>
    <row r="1" spans="1:35" ht="19.350000000000001" customHeight="1">
      <c r="A1" s="12" t="s">
        <v>0</v>
      </c>
      <c r="B1" s="30">
        <v>46023</v>
      </c>
      <c r="C1" s="12" t="s">
        <v>88</v>
      </c>
      <c r="D1" s="12" t="s">
        <v>36</v>
      </c>
      <c r="E1" s="12" t="s">
        <v>89</v>
      </c>
      <c r="F1" s="12" t="s">
        <v>821</v>
      </c>
      <c r="W1" t="s">
        <v>90</v>
      </c>
      <c r="X1" t="e">
        <f t="shared" ref="X1:AI1" si="0">IF(I14&lt;&gt;"",IF($F14="Higher the better",IF(I15&gt;=I14,I15,NA()),IF(I15&lt;=I14,I15,NA())),NA())</f>
        <v>#N/A</v>
      </c>
      <c r="Y1" t="e">
        <f t="shared" si="0"/>
        <v>#N/A</v>
      </c>
      <c r="Z1" t="e">
        <f t="shared" si="0"/>
        <v>#N/A</v>
      </c>
      <c r="AA1" t="e">
        <f t="shared" si="0"/>
        <v>#N/A</v>
      </c>
      <c r="AB1" t="e">
        <f t="shared" si="0"/>
        <v>#N/A</v>
      </c>
      <c r="AC1" t="e">
        <f t="shared" si="0"/>
        <v>#N/A</v>
      </c>
      <c r="AD1" t="e">
        <f t="shared" si="0"/>
        <v>#N/A</v>
      </c>
      <c r="AE1" t="e">
        <f t="shared" si="0"/>
        <v>#N/A</v>
      </c>
      <c r="AF1" t="e">
        <f t="shared" si="0"/>
        <v>#N/A</v>
      </c>
      <c r="AG1" t="e">
        <f t="shared" si="0"/>
        <v>#N/A</v>
      </c>
      <c r="AH1" t="e">
        <f t="shared" si="0"/>
        <v>#N/A</v>
      </c>
      <c r="AI1" t="e">
        <f t="shared" si="0"/>
        <v>#N/A</v>
      </c>
    </row>
    <row r="2" spans="1:35" ht="19.350000000000001" customHeight="1">
      <c r="A2" s="13"/>
      <c r="B2" s="37"/>
      <c r="D2" s="13"/>
      <c r="E2" s="13"/>
      <c r="W2" t="s">
        <v>91</v>
      </c>
      <c r="X2" t="e">
        <f t="shared" ref="X2:AI2" si="1">IF(I15&lt;&gt;"",IF($F14="Higher the better",IF(I15&lt;I14,I15,NA()),IF(I15&gt;I14,I15,NA())),NA())</f>
        <v>#N/A</v>
      </c>
      <c r="Y2" t="e">
        <f t="shared" si="1"/>
        <v>#N/A</v>
      </c>
      <c r="Z2" t="e">
        <f t="shared" si="1"/>
        <v>#N/A</v>
      </c>
      <c r="AA2" t="e">
        <f t="shared" si="1"/>
        <v>#N/A</v>
      </c>
      <c r="AB2" t="e">
        <f t="shared" si="1"/>
        <v>#N/A</v>
      </c>
      <c r="AC2" t="e">
        <f t="shared" si="1"/>
        <v>#N/A</v>
      </c>
      <c r="AD2" t="e">
        <f t="shared" si="1"/>
        <v>#N/A</v>
      </c>
      <c r="AE2" t="e">
        <f t="shared" si="1"/>
        <v>#N/A</v>
      </c>
      <c r="AF2" t="e">
        <f t="shared" si="1"/>
        <v>#N/A</v>
      </c>
      <c r="AG2" t="e">
        <f t="shared" si="1"/>
        <v>#N/A</v>
      </c>
      <c r="AH2" t="e">
        <f t="shared" si="1"/>
        <v>#N/A</v>
      </c>
      <c r="AI2" t="e">
        <f t="shared" si="1"/>
        <v>#N/A</v>
      </c>
    </row>
    <row r="3" spans="1:35" ht="20.100000000000001" customHeight="1">
      <c r="A3" s="347" t="s">
        <v>822</v>
      </c>
      <c r="B3" s="347"/>
      <c r="C3" t="s">
        <v>823</v>
      </c>
      <c r="D3" t="s">
        <v>824</v>
      </c>
      <c r="W3" t="s">
        <v>90</v>
      </c>
      <c r="X3" t="e">
        <f t="shared" ref="X3:AI3" si="2">IF(I16&lt;&gt;"",IF($F16="Higher the better",IF(I17&gt;=I16,I17,NA()),IF(I17&lt;=I16,I17,NA())),NA())</f>
        <v>#N/A</v>
      </c>
      <c r="Y3" t="e">
        <f t="shared" si="2"/>
        <v>#N/A</v>
      </c>
      <c r="Z3" t="e">
        <f t="shared" si="2"/>
        <v>#N/A</v>
      </c>
      <c r="AA3" t="e">
        <f t="shared" si="2"/>
        <v>#N/A</v>
      </c>
      <c r="AB3" t="e">
        <f t="shared" si="2"/>
        <v>#N/A</v>
      </c>
      <c r="AC3" t="e">
        <f t="shared" si="2"/>
        <v>#N/A</v>
      </c>
      <c r="AD3" t="e">
        <f t="shared" si="2"/>
        <v>#N/A</v>
      </c>
      <c r="AE3" t="e">
        <f t="shared" si="2"/>
        <v>#N/A</v>
      </c>
      <c r="AF3" t="e">
        <f t="shared" si="2"/>
        <v>#N/A</v>
      </c>
      <c r="AG3" t="e">
        <f t="shared" si="2"/>
        <v>#N/A</v>
      </c>
      <c r="AH3" t="e">
        <f t="shared" si="2"/>
        <v>#N/A</v>
      </c>
      <c r="AI3" t="e">
        <f t="shared" si="2"/>
        <v>#N/A</v>
      </c>
    </row>
    <row r="4" spans="1:35" ht="18.600000000000001" customHeight="1">
      <c r="A4" s="11" t="s">
        <v>93</v>
      </c>
      <c r="B4" s="11"/>
      <c r="W4" t="s">
        <v>91</v>
      </c>
      <c r="X4">
        <f t="shared" ref="X4:AI4" si="3">IF(I17&lt;&gt;"",IF($F16="Higher the better",IF(I17&lt;I16,I17,NA()),IF(I17&gt;I16,I17,NA())),NA())</f>
        <v>0.2923</v>
      </c>
      <c r="Y4">
        <f t="shared" si="3"/>
        <v>0.31709999999999999</v>
      </c>
      <c r="Z4">
        <f t="shared" si="3"/>
        <v>0.52500000000000002</v>
      </c>
      <c r="AA4">
        <f t="shared" si="3"/>
        <v>0.65900000000000003</v>
      </c>
      <c r="AB4">
        <f t="shared" si="3"/>
        <v>0.69699999999999995</v>
      </c>
      <c r="AC4">
        <f t="shared" si="3"/>
        <v>0.71299999999999997</v>
      </c>
      <c r="AD4">
        <f t="shared" si="3"/>
        <v>0.75700000000000001</v>
      </c>
      <c r="AE4" t="e">
        <f t="shared" si="3"/>
        <v>#N/A</v>
      </c>
      <c r="AF4" t="e">
        <f t="shared" si="3"/>
        <v>#N/A</v>
      </c>
      <c r="AG4" t="e">
        <f t="shared" si="3"/>
        <v>#N/A</v>
      </c>
      <c r="AH4" t="e">
        <f t="shared" si="3"/>
        <v>#N/A</v>
      </c>
      <c r="AI4" t="e">
        <f t="shared" si="3"/>
        <v>#N/A</v>
      </c>
    </row>
    <row r="5" spans="1:35"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f t="shared" ref="X5:AI5" si="4">IF(I18&lt;&gt;"",IF($F18="Higher the better",IF(I19&gt;=I18,I19,NA()),IF(I19&lt;=I18,I19,NA())),NA())</f>
        <v>6.4</v>
      </c>
      <c r="Y5" t="e">
        <f t="shared" si="4"/>
        <v>#N/A</v>
      </c>
      <c r="Z5" t="e">
        <f t="shared" si="4"/>
        <v>#N/A</v>
      </c>
      <c r="AA5" t="e">
        <f t="shared" si="4"/>
        <v>#N/A</v>
      </c>
      <c r="AB5" t="e">
        <f t="shared" si="4"/>
        <v>#N/A</v>
      </c>
      <c r="AC5" t="e">
        <f t="shared" si="4"/>
        <v>#N/A</v>
      </c>
      <c r="AD5" t="e">
        <f t="shared" si="4"/>
        <v>#N/A</v>
      </c>
      <c r="AE5" t="e">
        <f t="shared" si="4"/>
        <v>#N/A</v>
      </c>
      <c r="AF5" t="e">
        <f t="shared" si="4"/>
        <v>#N/A</v>
      </c>
      <c r="AG5" t="e">
        <f t="shared" si="4"/>
        <v>#N/A</v>
      </c>
      <c r="AH5" t="e">
        <f t="shared" si="4"/>
        <v>#N/A</v>
      </c>
      <c r="AI5" t="e">
        <f t="shared" si="4"/>
        <v>#N/A</v>
      </c>
    </row>
    <row r="6" spans="1:35">
      <c r="A6" s="348" t="s">
        <v>709</v>
      </c>
      <c r="B6" s="350" t="s">
        <v>825</v>
      </c>
      <c r="C6" s="328" t="s">
        <v>120</v>
      </c>
      <c r="D6" s="595">
        <v>23</v>
      </c>
      <c r="E6" s="328" t="s">
        <v>98</v>
      </c>
      <c r="F6" s="336" t="s">
        <v>99</v>
      </c>
      <c r="G6" s="328" t="s">
        <v>593</v>
      </c>
      <c r="H6" s="14" t="s">
        <v>29</v>
      </c>
      <c r="I6" s="122"/>
      <c r="J6" s="122"/>
      <c r="K6" s="4">
        <v>0.2</v>
      </c>
      <c r="L6" s="122"/>
      <c r="M6" s="122"/>
      <c r="N6" s="4">
        <v>0.21</v>
      </c>
      <c r="O6" s="122"/>
      <c r="P6" s="122"/>
      <c r="Q6" s="4">
        <v>0.22</v>
      </c>
      <c r="R6" s="122"/>
      <c r="S6" s="122"/>
      <c r="T6" s="4">
        <v>0.23</v>
      </c>
      <c r="W6" t="s">
        <v>91</v>
      </c>
      <c r="X6" t="e">
        <f t="shared" ref="X6:AI6" si="5">IF(I19&lt;&gt;"",IF($F18="Higher the better",IF(I19&lt;I18,I19,NA()),IF(I19&gt;I18,I19,NA())),NA())</f>
        <v>#N/A</v>
      </c>
      <c r="Y6">
        <f t="shared" si="5"/>
        <v>8.6</v>
      </c>
      <c r="Z6">
        <f t="shared" si="5"/>
        <v>17</v>
      </c>
      <c r="AA6">
        <f t="shared" si="5"/>
        <v>13</v>
      </c>
      <c r="AB6" t="e">
        <f t="shared" si="5"/>
        <v>#N/A</v>
      </c>
      <c r="AC6" t="e">
        <f t="shared" si="5"/>
        <v>#N/A</v>
      </c>
      <c r="AD6" t="e">
        <f t="shared" si="5"/>
        <v>#N/A</v>
      </c>
      <c r="AE6" t="e">
        <f t="shared" si="5"/>
        <v>#N/A</v>
      </c>
      <c r="AF6" t="e">
        <f t="shared" si="5"/>
        <v>#N/A</v>
      </c>
      <c r="AG6" t="e">
        <f t="shared" si="5"/>
        <v>#N/A</v>
      </c>
      <c r="AH6" t="e">
        <f t="shared" si="5"/>
        <v>#N/A</v>
      </c>
      <c r="AI6" t="e">
        <f t="shared" si="5"/>
        <v>#N/A</v>
      </c>
    </row>
    <row r="7" spans="1:35">
      <c r="A7" s="349"/>
      <c r="B7" s="344"/>
      <c r="C7" s="329"/>
      <c r="D7" s="500"/>
      <c r="E7" s="329"/>
      <c r="F7" s="333"/>
      <c r="G7" s="329"/>
      <c r="H7" s="14" t="s">
        <v>30</v>
      </c>
      <c r="I7" s="45"/>
      <c r="J7" s="45"/>
      <c r="K7" s="45"/>
      <c r="L7" s="45"/>
      <c r="M7" s="45"/>
      <c r="N7" s="45"/>
      <c r="O7" s="45"/>
      <c r="P7" s="45"/>
      <c r="Q7" s="45"/>
      <c r="R7" s="45"/>
      <c r="S7" s="45"/>
      <c r="T7" s="45"/>
      <c r="W7" t="s">
        <v>90</v>
      </c>
      <c r="X7">
        <f t="shared" ref="X7:AI7" si="6">IF(I20&lt;&gt;"",IF($F20="Higher the better",IF(I21&gt;=I20,I21,NA()),IF(I21&lt;=I20,I21,NA())),NA())</f>
        <v>0.34899999999999998</v>
      </c>
      <c r="Y7">
        <f t="shared" si="6"/>
        <v>0.35299999999999998</v>
      </c>
      <c r="Z7">
        <f t="shared" si="6"/>
        <v>0.35</v>
      </c>
      <c r="AA7">
        <f t="shared" si="6"/>
        <v>0.35599999999999998</v>
      </c>
      <c r="AB7" t="e">
        <f t="shared" si="6"/>
        <v>#N/A</v>
      </c>
      <c r="AC7" t="e">
        <f t="shared" si="6"/>
        <v>#N/A</v>
      </c>
      <c r="AD7" t="e">
        <f t="shared" si="6"/>
        <v>#N/A</v>
      </c>
      <c r="AE7" t="e">
        <f t="shared" si="6"/>
        <v>#N/A</v>
      </c>
      <c r="AF7" t="e">
        <f t="shared" si="6"/>
        <v>#N/A</v>
      </c>
      <c r="AG7" t="e">
        <f t="shared" si="6"/>
        <v>#N/A</v>
      </c>
      <c r="AH7" t="e">
        <f t="shared" si="6"/>
        <v>#N/A</v>
      </c>
      <c r="AI7" t="e">
        <f t="shared" si="6"/>
        <v>#N/A</v>
      </c>
    </row>
    <row r="8" spans="1:35">
      <c r="A8" s="348" t="s">
        <v>802</v>
      </c>
      <c r="B8" s="348" t="s">
        <v>826</v>
      </c>
      <c r="C8" s="328" t="s">
        <v>120</v>
      </c>
      <c r="D8" s="596">
        <v>62.9</v>
      </c>
      <c r="E8" s="328" t="s">
        <v>247</v>
      </c>
      <c r="F8" s="336" t="s">
        <v>99</v>
      </c>
      <c r="G8" s="328" t="s">
        <v>55</v>
      </c>
      <c r="H8" s="14" t="s">
        <v>29</v>
      </c>
      <c r="I8" s="48">
        <v>1.5</v>
      </c>
      <c r="J8" s="48">
        <v>4.5</v>
      </c>
      <c r="K8" s="48">
        <v>5.5</v>
      </c>
      <c r="L8" s="48">
        <v>4.3</v>
      </c>
      <c r="M8" s="48">
        <v>6.5</v>
      </c>
      <c r="N8" s="48">
        <v>6.4</v>
      </c>
      <c r="O8" s="48">
        <v>3.3</v>
      </c>
      <c r="P8" s="48">
        <v>6.1</v>
      </c>
      <c r="Q8" s="48">
        <v>6.4</v>
      </c>
      <c r="R8" s="48">
        <v>4.0999999999999996</v>
      </c>
      <c r="S8" s="48">
        <v>7.6</v>
      </c>
      <c r="T8" s="48">
        <v>6.7</v>
      </c>
      <c r="W8" t="s">
        <v>91</v>
      </c>
      <c r="X8" t="e">
        <f t="shared" ref="X8:AI8" si="7">IF(I21&lt;&gt;"",IF($F20="Higher the better",IF(I21&lt;I20,I21,NA()),IF(I21&gt;I20,I21,NA())),NA())</f>
        <v>#N/A</v>
      </c>
      <c r="Y8" t="e">
        <f t="shared" si="7"/>
        <v>#N/A</v>
      </c>
      <c r="Z8" t="e">
        <f t="shared" si="7"/>
        <v>#N/A</v>
      </c>
      <c r="AA8" t="e">
        <f t="shared" si="7"/>
        <v>#N/A</v>
      </c>
      <c r="AB8" t="e">
        <f t="shared" si="7"/>
        <v>#N/A</v>
      </c>
      <c r="AC8" t="e">
        <f t="shared" si="7"/>
        <v>#N/A</v>
      </c>
      <c r="AD8" t="e">
        <f t="shared" si="7"/>
        <v>#N/A</v>
      </c>
      <c r="AE8" t="e">
        <f t="shared" si="7"/>
        <v>#N/A</v>
      </c>
      <c r="AF8" t="e">
        <f t="shared" si="7"/>
        <v>#N/A</v>
      </c>
      <c r="AG8" t="e">
        <f t="shared" si="7"/>
        <v>#N/A</v>
      </c>
      <c r="AH8" t="e">
        <f t="shared" si="7"/>
        <v>#N/A</v>
      </c>
      <c r="AI8" t="e">
        <f t="shared" si="7"/>
        <v>#N/A</v>
      </c>
    </row>
    <row r="9" spans="1:35">
      <c r="A9" s="349"/>
      <c r="B9" s="344"/>
      <c r="C9" s="329"/>
      <c r="D9" s="597"/>
      <c r="E9" s="329"/>
      <c r="F9" s="333"/>
      <c r="G9" s="329"/>
      <c r="H9" s="14" t="s">
        <v>30</v>
      </c>
      <c r="I9" s="45">
        <v>2.1</v>
      </c>
      <c r="J9" s="45">
        <v>3.4</v>
      </c>
      <c r="K9" s="45">
        <v>8.8000000000000007</v>
      </c>
      <c r="L9" s="45">
        <v>1.2</v>
      </c>
      <c r="M9" s="45"/>
      <c r="N9" s="45"/>
      <c r="O9" s="45"/>
      <c r="P9" s="45"/>
      <c r="Q9" s="45"/>
      <c r="R9" s="45"/>
      <c r="S9" s="45"/>
      <c r="T9" s="45"/>
      <c r="W9" t="s">
        <v>90</v>
      </c>
      <c r="X9">
        <f t="shared" ref="X9:AI9" si="8">IF(I24&lt;&gt;"",IF($F24="Higher the better",IF(I25&gt;=I24,I25,NA()),IF(I25&lt;=I24,I25,NA())),NA())</f>
        <v>0.51700000000000002</v>
      </c>
      <c r="Y9">
        <f t="shared" si="8"/>
        <v>0.52200000000000002</v>
      </c>
      <c r="Z9">
        <f t="shared" si="8"/>
        <v>0.5</v>
      </c>
      <c r="AA9">
        <f t="shared" si="8"/>
        <v>0.497</v>
      </c>
      <c r="AB9">
        <f t="shared" si="8"/>
        <v>0.47299999999999998</v>
      </c>
      <c r="AC9" t="e">
        <f t="shared" si="8"/>
        <v>#N/A</v>
      </c>
      <c r="AD9" t="e">
        <f t="shared" si="8"/>
        <v>#N/A</v>
      </c>
      <c r="AE9" t="e">
        <f t="shared" si="8"/>
        <v>#N/A</v>
      </c>
      <c r="AF9" t="e">
        <f t="shared" si="8"/>
        <v>#N/A</v>
      </c>
      <c r="AG9" t="e">
        <f t="shared" si="8"/>
        <v>#N/A</v>
      </c>
      <c r="AH9" t="e">
        <f t="shared" si="8"/>
        <v>#N/A</v>
      </c>
      <c r="AI9" t="e">
        <f t="shared" si="8"/>
        <v>#N/A</v>
      </c>
    </row>
    <row r="10" spans="1:35">
      <c r="A10" s="348" t="s">
        <v>804</v>
      </c>
      <c r="B10" s="348" t="s">
        <v>826</v>
      </c>
      <c r="C10" s="328" t="s">
        <v>120</v>
      </c>
      <c r="D10" s="328">
        <v>32.200000000000003</v>
      </c>
      <c r="E10" s="328" t="s">
        <v>247</v>
      </c>
      <c r="F10" s="336" t="s">
        <v>99</v>
      </c>
      <c r="G10" s="328" t="s">
        <v>55</v>
      </c>
      <c r="H10" s="14" t="s">
        <v>29</v>
      </c>
      <c r="I10" s="48">
        <v>2.6970000000000001</v>
      </c>
      <c r="J10" s="48">
        <v>1.91</v>
      </c>
      <c r="K10" s="48">
        <v>2.4750000000000001</v>
      </c>
      <c r="L10" s="48">
        <v>2.2709999999999999</v>
      </c>
      <c r="M10" s="48">
        <v>2.7090000000000001</v>
      </c>
      <c r="N10" s="48">
        <v>3.8620000000000001</v>
      </c>
      <c r="O10" s="48">
        <v>2.5339999999999998</v>
      </c>
      <c r="P10" s="48">
        <v>2.27</v>
      </c>
      <c r="Q10" s="48">
        <v>2.637</v>
      </c>
      <c r="R10" s="48">
        <v>1.972</v>
      </c>
      <c r="S10" s="48">
        <v>2.246</v>
      </c>
      <c r="T10" s="48">
        <v>4.6180000000000003</v>
      </c>
      <c r="W10" t="s">
        <v>91</v>
      </c>
      <c r="X10" t="e">
        <f t="shared" ref="X10:AI10" si="9">IF(I25&lt;&gt;"",IF($F24="Higher the better",IF(I25&lt;I24,I25,NA()),IF(I25&gt;I24,I25,NA())),NA())</f>
        <v>#N/A</v>
      </c>
      <c r="Y10" t="e">
        <f t="shared" si="9"/>
        <v>#N/A</v>
      </c>
      <c r="Z10" t="e">
        <f t="shared" si="9"/>
        <v>#N/A</v>
      </c>
      <c r="AA10" t="e">
        <f t="shared" si="9"/>
        <v>#N/A</v>
      </c>
      <c r="AB10" t="e">
        <f t="shared" si="9"/>
        <v>#N/A</v>
      </c>
      <c r="AC10">
        <f t="shared" si="9"/>
        <v>0.35899999999999999</v>
      </c>
      <c r="AD10">
        <f t="shared" si="9"/>
        <v>0.377</v>
      </c>
      <c r="AE10" t="e">
        <f t="shared" si="9"/>
        <v>#N/A</v>
      </c>
      <c r="AF10" t="e">
        <f t="shared" si="9"/>
        <v>#N/A</v>
      </c>
      <c r="AG10" t="e">
        <f t="shared" si="9"/>
        <v>#N/A</v>
      </c>
      <c r="AH10" t="e">
        <f t="shared" si="9"/>
        <v>#N/A</v>
      </c>
      <c r="AI10" t="e">
        <f t="shared" si="9"/>
        <v>#N/A</v>
      </c>
    </row>
    <row r="11" spans="1:35">
      <c r="A11" s="349"/>
      <c r="B11" s="344"/>
      <c r="C11" s="329"/>
      <c r="D11" s="329"/>
      <c r="E11" s="329"/>
      <c r="F11" s="333"/>
      <c r="G11" s="329"/>
      <c r="H11" s="14" t="s">
        <v>30</v>
      </c>
      <c r="I11" s="45">
        <v>2</v>
      </c>
      <c r="J11" s="45">
        <v>2.2000000000000002</v>
      </c>
      <c r="K11" s="45">
        <v>2.5</v>
      </c>
      <c r="L11" s="45">
        <v>2.4</v>
      </c>
      <c r="M11" s="45">
        <v>3.1</v>
      </c>
      <c r="N11" s="45">
        <v>3.8</v>
      </c>
      <c r="O11" s="45">
        <v>2.2000000000000002</v>
      </c>
      <c r="P11" s="45"/>
      <c r="Q11" s="45"/>
      <c r="R11" s="45"/>
      <c r="S11" s="45"/>
      <c r="T11" s="45"/>
      <c r="W11" t="s">
        <v>90</v>
      </c>
      <c r="X11" t="e">
        <f t="shared" ref="X11:AI11" si="10">IF(I26&lt;&gt;"",IF($F26="Higher the better",IF(I27&gt;=I26,I27,NA()),IF(I27&lt;=I26,I27,NA())),NA())</f>
        <v>#N/A</v>
      </c>
      <c r="Y11" t="e">
        <f t="shared" si="10"/>
        <v>#N/A</v>
      </c>
      <c r="Z11">
        <f t="shared" si="10"/>
        <v>0.40235294117647058</v>
      </c>
      <c r="AA11" t="e">
        <f t="shared" si="10"/>
        <v>#N/A</v>
      </c>
      <c r="AB11" t="e">
        <f t="shared" si="10"/>
        <v>#N/A</v>
      </c>
      <c r="AC11" t="e">
        <f t="shared" si="10"/>
        <v>#N/A</v>
      </c>
      <c r="AD11" t="e">
        <f t="shared" si="10"/>
        <v>#N/A</v>
      </c>
      <c r="AE11" t="e">
        <f t="shared" si="10"/>
        <v>#N/A</v>
      </c>
      <c r="AF11" t="e">
        <f t="shared" si="10"/>
        <v>#N/A</v>
      </c>
      <c r="AG11" t="e">
        <f t="shared" si="10"/>
        <v>#N/A</v>
      </c>
      <c r="AH11" t="e">
        <f t="shared" si="10"/>
        <v>#N/A</v>
      </c>
      <c r="AI11" t="e">
        <f t="shared" si="10"/>
        <v>#N/A</v>
      </c>
    </row>
    <row r="12" spans="1:35" ht="18.600000000000001">
      <c r="A12" s="31" t="s">
        <v>112</v>
      </c>
      <c r="G12" s="38"/>
      <c r="I12" s="43"/>
      <c r="J12" s="43"/>
      <c r="K12" s="43"/>
      <c r="L12" s="43"/>
      <c r="M12" s="43"/>
      <c r="N12" s="43"/>
      <c r="O12" s="43"/>
      <c r="P12" s="43"/>
      <c r="Q12" s="43"/>
      <c r="R12" s="43"/>
      <c r="S12" s="43"/>
      <c r="T12" s="43"/>
      <c r="W12" t="s">
        <v>91</v>
      </c>
      <c r="X12" t="e">
        <f t="shared" ref="X12:AI12" si="11">IF(I27&lt;&gt;"",IF($F26="Higher the better",IF(I27&lt;I26,I27,NA()),IF(I27&gt;I26,I27,NA())),NA())</f>
        <v>#N/A</v>
      </c>
      <c r="Y12" t="e">
        <f t="shared" si="11"/>
        <v>#N/A</v>
      </c>
      <c r="Z12" t="e">
        <f t="shared" si="11"/>
        <v>#N/A</v>
      </c>
      <c r="AA12" t="e">
        <f t="shared" si="11"/>
        <v>#N/A</v>
      </c>
      <c r="AB12" t="e">
        <f t="shared" si="11"/>
        <v>#N/A</v>
      </c>
      <c r="AC12" t="e">
        <f t="shared" si="11"/>
        <v>#N/A</v>
      </c>
      <c r="AD12" t="e">
        <f t="shared" si="11"/>
        <v>#N/A</v>
      </c>
      <c r="AE12" t="e">
        <f t="shared" si="11"/>
        <v>#N/A</v>
      </c>
      <c r="AF12" t="e">
        <f t="shared" si="11"/>
        <v>#N/A</v>
      </c>
      <c r="AG12" t="e">
        <f t="shared" si="11"/>
        <v>#N/A</v>
      </c>
      <c r="AH12" t="e">
        <f t="shared" si="11"/>
        <v>#N/A</v>
      </c>
      <c r="AI12" t="e">
        <f t="shared" si="11"/>
        <v>#N/A</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3.5" customHeight="1">
      <c r="A14" s="348" t="s">
        <v>827</v>
      </c>
      <c r="B14" s="343" t="s">
        <v>828</v>
      </c>
      <c r="C14" s="328" t="s">
        <v>120</v>
      </c>
      <c r="D14" s="363">
        <v>0.65</v>
      </c>
      <c r="E14" s="328" t="s">
        <v>98</v>
      </c>
      <c r="F14" s="336" t="s">
        <v>99</v>
      </c>
      <c r="G14" s="328" t="s">
        <v>593</v>
      </c>
      <c r="H14" s="14" t="s">
        <v>29</v>
      </c>
      <c r="I14" s="123"/>
      <c r="J14" s="123"/>
      <c r="K14" s="4">
        <v>0.62</v>
      </c>
      <c r="L14" s="123"/>
      <c r="M14" s="123"/>
      <c r="N14" s="4">
        <v>0.63</v>
      </c>
      <c r="O14" s="123"/>
      <c r="P14" s="123"/>
      <c r="Q14" s="4">
        <v>0.64</v>
      </c>
      <c r="R14" s="123"/>
      <c r="S14" s="123"/>
      <c r="T14" s="4">
        <v>0.65</v>
      </c>
    </row>
    <row r="15" spans="1:35" ht="14.85" customHeight="1">
      <c r="A15" s="349"/>
      <c r="B15" s="344"/>
      <c r="C15" s="329"/>
      <c r="D15" s="329"/>
      <c r="E15" s="329"/>
      <c r="F15" s="333"/>
      <c r="G15" s="329"/>
      <c r="H15" s="14" t="s">
        <v>30</v>
      </c>
      <c r="I15" s="5"/>
      <c r="J15" s="5"/>
      <c r="K15" s="5"/>
      <c r="L15" s="5"/>
      <c r="M15" s="5"/>
      <c r="N15" s="5"/>
      <c r="O15" s="5"/>
      <c r="P15" s="5"/>
      <c r="Q15" s="5"/>
      <c r="R15" s="5"/>
      <c r="S15" s="5"/>
      <c r="T15" s="5"/>
    </row>
    <row r="16" spans="1:35">
      <c r="A16" s="348" t="s">
        <v>829</v>
      </c>
      <c r="B16" s="354" t="s">
        <v>830</v>
      </c>
      <c r="C16" s="328" t="s">
        <v>115</v>
      </c>
      <c r="D16" s="363">
        <v>0.8</v>
      </c>
      <c r="E16" s="328" t="s">
        <v>98</v>
      </c>
      <c r="F16" s="336" t="s">
        <v>99</v>
      </c>
      <c r="G16" s="328" t="s">
        <v>55</v>
      </c>
      <c r="H16" s="14" t="s">
        <v>29</v>
      </c>
      <c r="I16" s="4">
        <v>0.75</v>
      </c>
      <c r="J16" s="4">
        <v>0.75</v>
      </c>
      <c r="K16" s="4">
        <v>0.75</v>
      </c>
      <c r="L16" s="4">
        <v>0.75</v>
      </c>
      <c r="M16" s="4">
        <v>0.75</v>
      </c>
      <c r="N16" s="4">
        <v>0.75</v>
      </c>
      <c r="O16" s="4">
        <v>0.8</v>
      </c>
      <c r="P16" s="4">
        <v>0.8</v>
      </c>
      <c r="Q16" s="4">
        <v>0.8</v>
      </c>
      <c r="R16" s="4">
        <v>0.8</v>
      </c>
      <c r="S16" s="4">
        <v>0.8</v>
      </c>
      <c r="T16" s="4">
        <v>0.8</v>
      </c>
    </row>
    <row r="17" spans="1:20">
      <c r="A17" s="349"/>
      <c r="B17" s="344"/>
      <c r="C17" s="329"/>
      <c r="D17" s="329"/>
      <c r="E17" s="329"/>
      <c r="F17" s="333"/>
      <c r="G17" s="329"/>
      <c r="H17" s="14" t="s">
        <v>30</v>
      </c>
      <c r="I17" s="5">
        <v>0.2923</v>
      </c>
      <c r="J17" s="5">
        <v>0.31709999999999999</v>
      </c>
      <c r="K17" s="5">
        <v>0.52500000000000002</v>
      </c>
      <c r="L17" s="5">
        <v>0.65900000000000003</v>
      </c>
      <c r="M17" s="5">
        <v>0.69699999999999995</v>
      </c>
      <c r="N17" s="5">
        <v>0.71299999999999997</v>
      </c>
      <c r="O17" s="5">
        <v>0.75700000000000001</v>
      </c>
      <c r="P17" s="5"/>
      <c r="Q17" s="5"/>
      <c r="R17" s="5"/>
      <c r="S17" s="5"/>
      <c r="T17" s="5"/>
    </row>
    <row r="18" spans="1:20">
      <c r="A18" s="348" t="s">
        <v>752</v>
      </c>
      <c r="B18" s="348" t="s">
        <v>752</v>
      </c>
      <c r="C18" s="328" t="s">
        <v>97</v>
      </c>
      <c r="D18" s="336" t="s">
        <v>831</v>
      </c>
      <c r="E18" s="328" t="s">
        <v>247</v>
      </c>
      <c r="F18" s="336" t="s">
        <v>99</v>
      </c>
      <c r="G18" s="328" t="s">
        <v>55</v>
      </c>
      <c r="H18" s="14" t="s">
        <v>29</v>
      </c>
      <c r="I18" s="48">
        <v>4.838709677419355</v>
      </c>
      <c r="J18" s="48">
        <v>14.516129032258064</v>
      </c>
      <c r="K18" s="48">
        <v>17.1875</v>
      </c>
      <c r="L18" s="48">
        <v>13.4375</v>
      </c>
      <c r="M18" s="48">
        <v>20.3125</v>
      </c>
      <c r="N18" s="48">
        <v>19.393939393939394</v>
      </c>
      <c r="O18" s="48">
        <v>9.9999999999999982</v>
      </c>
      <c r="P18" s="48">
        <v>18.484848484848484</v>
      </c>
      <c r="Q18" s="48">
        <v>18.823529411764707</v>
      </c>
      <c r="R18" s="48">
        <v>12.058823529411763</v>
      </c>
      <c r="S18" s="48">
        <v>22.352941176470587</v>
      </c>
      <c r="T18" s="48">
        <v>19.142857142857146</v>
      </c>
    </row>
    <row r="19" spans="1:20">
      <c r="A19" s="349"/>
      <c r="B19" s="344"/>
      <c r="C19" s="329"/>
      <c r="D19" s="329"/>
      <c r="E19" s="329"/>
      <c r="F19" s="333"/>
      <c r="G19" s="329"/>
      <c r="H19" s="14" t="s">
        <v>30</v>
      </c>
      <c r="I19" s="45">
        <v>6.4</v>
      </c>
      <c r="J19" s="45">
        <v>8.6</v>
      </c>
      <c r="K19" s="45">
        <v>17</v>
      </c>
      <c r="L19" s="45">
        <v>13</v>
      </c>
      <c r="M19" s="45"/>
      <c r="N19" s="45"/>
      <c r="O19" s="45"/>
      <c r="P19" s="45"/>
      <c r="Q19" s="45"/>
      <c r="R19" s="45"/>
      <c r="S19" s="45"/>
      <c r="T19" s="45"/>
    </row>
    <row r="20" spans="1:20">
      <c r="A20" s="348" t="s">
        <v>812</v>
      </c>
      <c r="B20" s="348" t="s">
        <v>832</v>
      </c>
      <c r="C20" s="328" t="s">
        <v>97</v>
      </c>
      <c r="D20" s="363">
        <v>0.35</v>
      </c>
      <c r="E20" s="328" t="s">
        <v>98</v>
      </c>
      <c r="F20" s="336" t="s">
        <v>99</v>
      </c>
      <c r="G20" s="328" t="s">
        <v>55</v>
      </c>
      <c r="H20" s="14" t="s">
        <v>29</v>
      </c>
      <c r="I20" s="4">
        <v>0.31</v>
      </c>
      <c r="J20" s="4">
        <v>0.31</v>
      </c>
      <c r="K20" s="4">
        <v>0.32</v>
      </c>
      <c r="L20" s="4">
        <v>0.32</v>
      </c>
      <c r="M20" s="4">
        <v>0.32</v>
      </c>
      <c r="N20" s="4">
        <v>0.33</v>
      </c>
      <c r="O20" s="4">
        <v>0.33</v>
      </c>
      <c r="P20" s="4">
        <v>0.33</v>
      </c>
      <c r="Q20" s="4">
        <v>0.34</v>
      </c>
      <c r="R20" s="4">
        <v>0.34</v>
      </c>
      <c r="S20" s="4">
        <v>0.34</v>
      </c>
      <c r="T20" s="4">
        <v>0.35</v>
      </c>
    </row>
    <row r="21" spans="1:20">
      <c r="A21" s="349"/>
      <c r="B21" s="344"/>
      <c r="C21" s="329"/>
      <c r="D21" s="329"/>
      <c r="E21" s="329"/>
      <c r="F21" s="333"/>
      <c r="G21" s="329"/>
      <c r="H21" s="14" t="s">
        <v>30</v>
      </c>
      <c r="I21" s="5">
        <v>0.34899999999999998</v>
      </c>
      <c r="J21" s="5">
        <v>0.35299999999999998</v>
      </c>
      <c r="K21" s="5">
        <v>0.35</v>
      </c>
      <c r="L21" s="5">
        <v>0.35599999999999998</v>
      </c>
      <c r="M21" s="5"/>
      <c r="N21" s="5"/>
      <c r="O21" s="5"/>
      <c r="P21" s="5"/>
      <c r="Q21" s="5"/>
      <c r="R21" s="5"/>
      <c r="S21" s="5"/>
      <c r="T21" s="5"/>
    </row>
    <row r="22" spans="1:20">
      <c r="A22" s="348" t="s">
        <v>833</v>
      </c>
      <c r="B22" s="348" t="s">
        <v>834</v>
      </c>
      <c r="C22" s="328" t="s">
        <v>97</v>
      </c>
      <c r="D22" s="336">
        <f>63.5-19.5</f>
        <v>44</v>
      </c>
      <c r="E22" s="328" t="s">
        <v>247</v>
      </c>
      <c r="F22" s="336" t="s">
        <v>99</v>
      </c>
      <c r="G22" s="328" t="s">
        <v>55</v>
      </c>
      <c r="H22" s="14" t="s">
        <v>29</v>
      </c>
      <c r="I22" s="48">
        <v>1.5</v>
      </c>
      <c r="J22" s="48">
        <v>6</v>
      </c>
      <c r="K22" s="48">
        <v>11.5</v>
      </c>
      <c r="L22" s="48">
        <v>15.8</v>
      </c>
      <c r="M22" s="48">
        <v>22.3</v>
      </c>
      <c r="N22" s="48">
        <v>28.700000000000003</v>
      </c>
      <c r="O22" s="48">
        <v>32</v>
      </c>
      <c r="P22" s="48">
        <v>38.1</v>
      </c>
      <c r="Q22" s="48">
        <v>44</v>
      </c>
      <c r="R22" s="48">
        <v>44</v>
      </c>
      <c r="S22" s="48">
        <v>44</v>
      </c>
      <c r="T22" s="48">
        <v>44</v>
      </c>
    </row>
    <row r="23" spans="1:20">
      <c r="A23" s="349"/>
      <c r="B23" s="349"/>
      <c r="C23" s="329"/>
      <c r="D23" s="329"/>
      <c r="E23" s="329"/>
      <c r="F23" s="333"/>
      <c r="G23" s="329"/>
      <c r="H23" s="14" t="s">
        <v>30</v>
      </c>
      <c r="I23" s="45">
        <v>2.1</v>
      </c>
      <c r="J23" s="45">
        <v>5.5</v>
      </c>
      <c r="K23" s="45">
        <v>14.2</v>
      </c>
      <c r="L23" s="45">
        <v>15.5</v>
      </c>
      <c r="M23" s="45"/>
      <c r="N23" s="45"/>
      <c r="O23" s="45"/>
      <c r="P23" s="45"/>
      <c r="Q23" s="45"/>
      <c r="R23" s="45"/>
      <c r="S23" s="45"/>
      <c r="T23" s="45"/>
    </row>
    <row r="24" spans="1:20">
      <c r="A24" s="348" t="s">
        <v>835</v>
      </c>
      <c r="B24" s="348" t="s">
        <v>836</v>
      </c>
      <c r="C24" s="328" t="s">
        <v>97</v>
      </c>
      <c r="D24" s="363" t="s">
        <v>837</v>
      </c>
      <c r="E24" s="328" t="s">
        <v>98</v>
      </c>
      <c r="F24" s="336" t="s">
        <v>99</v>
      </c>
      <c r="G24" s="328" t="s">
        <v>55</v>
      </c>
      <c r="H24" s="14" t="s">
        <v>29</v>
      </c>
      <c r="I24" s="4">
        <v>0.4</v>
      </c>
      <c r="J24" s="4">
        <v>0.4</v>
      </c>
      <c r="K24" s="4">
        <v>0.4</v>
      </c>
      <c r="L24" s="4">
        <v>0.4</v>
      </c>
      <c r="M24" s="4">
        <v>0.4</v>
      </c>
      <c r="N24" s="4">
        <v>0.4</v>
      </c>
      <c r="O24" s="4">
        <v>0.4</v>
      </c>
      <c r="P24" s="4">
        <v>0.4</v>
      </c>
      <c r="Q24" s="4">
        <v>0.4</v>
      </c>
      <c r="R24" s="4">
        <v>0.4</v>
      </c>
      <c r="S24" s="4">
        <v>0.4</v>
      </c>
      <c r="T24" s="4">
        <v>0.4</v>
      </c>
    </row>
    <row r="25" spans="1:20" ht="15.6" customHeight="1">
      <c r="A25" s="349"/>
      <c r="B25" s="349"/>
      <c r="C25" s="329"/>
      <c r="D25" s="329"/>
      <c r="E25" s="329"/>
      <c r="F25" s="333"/>
      <c r="G25" s="329"/>
      <c r="H25" s="14" t="s">
        <v>30</v>
      </c>
      <c r="I25" s="5">
        <v>0.51700000000000002</v>
      </c>
      <c r="J25" s="5">
        <v>0.52200000000000002</v>
      </c>
      <c r="K25" s="5">
        <v>0.5</v>
      </c>
      <c r="L25" s="5">
        <v>0.497</v>
      </c>
      <c r="M25" s="5">
        <v>0.47299999999999998</v>
      </c>
      <c r="N25" s="5">
        <v>0.35899999999999999</v>
      </c>
      <c r="O25" s="5">
        <v>0.377</v>
      </c>
      <c r="P25" s="45"/>
      <c r="Q25" s="45"/>
      <c r="R25" s="45"/>
      <c r="S25" s="45"/>
      <c r="T25" s="45"/>
    </row>
    <row r="26" spans="1:20">
      <c r="A26" s="348" t="s">
        <v>838</v>
      </c>
      <c r="B26" s="348" t="s">
        <v>839</v>
      </c>
      <c r="C26" s="328" t="s">
        <v>97</v>
      </c>
      <c r="D26" s="336" t="s">
        <v>840</v>
      </c>
      <c r="E26" s="328" t="s">
        <v>98</v>
      </c>
      <c r="F26" s="336" t="s">
        <v>99</v>
      </c>
      <c r="G26" s="328" t="s">
        <v>593</v>
      </c>
      <c r="H26" s="14" t="s">
        <v>29</v>
      </c>
      <c r="I26" s="123"/>
      <c r="J26" s="123"/>
      <c r="K26" s="4">
        <v>0.40200000000000002</v>
      </c>
      <c r="L26" s="123"/>
      <c r="M26" s="123"/>
      <c r="N26" s="51">
        <v>0.36199999999999999</v>
      </c>
      <c r="O26" s="123"/>
      <c r="P26" s="123"/>
      <c r="Q26" s="51">
        <v>0.41299999999999998</v>
      </c>
      <c r="R26" s="123"/>
      <c r="S26" s="123"/>
      <c r="T26" s="51">
        <v>0.36599999999999999</v>
      </c>
    </row>
    <row r="27" spans="1:20" ht="13.5" customHeight="1">
      <c r="A27" s="349"/>
      <c r="B27" s="344"/>
      <c r="C27" s="329"/>
      <c r="D27" s="329"/>
      <c r="E27" s="329"/>
      <c r="F27" s="333"/>
      <c r="G27" s="329"/>
      <c r="H27" s="14" t="s">
        <v>30</v>
      </c>
      <c r="I27" s="5"/>
      <c r="J27" s="5"/>
      <c r="K27" s="5">
        <f>6.84/17</f>
        <v>0.40235294117647058</v>
      </c>
      <c r="L27" s="5"/>
      <c r="M27" s="5"/>
      <c r="N27" s="45"/>
      <c r="O27" s="45"/>
      <c r="P27" s="45"/>
      <c r="Q27" s="45"/>
      <c r="R27" s="45"/>
      <c r="S27" s="45"/>
      <c r="T27" s="45"/>
    </row>
    <row r="28" spans="1:20" ht="15" customHeight="1">
      <c r="E28" s="32" t="s">
        <v>86</v>
      </c>
      <c r="H28" s="33" t="str">
        <f>IF(OR($F15="Lower the better",$F15="Lower the Better"),
    IF(I15&gt;#REF!,$A14,""),
    IF(OR($F15="Higher the better",$F15="Higher the Better"),
       IF(I15&lt;#REF!,$A14,""),
       ""
    )
)</f>
        <v/>
      </c>
    </row>
    <row r="29" spans="1:20" ht="21">
      <c r="A29" s="10" t="s">
        <v>217</v>
      </c>
      <c r="B29"/>
    </row>
    <row r="30" spans="1:20">
      <c r="A30" s="28"/>
      <c r="B30"/>
    </row>
    <row r="31" spans="1:20">
      <c r="A31" s="28"/>
      <c r="B31"/>
    </row>
    <row r="32" spans="1:20">
      <c r="A32" s="28"/>
      <c r="B32"/>
    </row>
    <row r="33" spans="1:18">
      <c r="A33" s="28"/>
      <c r="B33"/>
    </row>
    <row r="34" spans="1:18">
      <c r="A34" s="28"/>
      <c r="B34"/>
    </row>
    <row r="35" spans="1:18">
      <c r="A35" s="28"/>
      <c r="B35"/>
    </row>
    <row r="36" spans="1:18">
      <c r="A36" s="28"/>
      <c r="B36"/>
    </row>
    <row r="37" spans="1:18">
      <c r="A37" s="28"/>
      <c r="B37"/>
    </row>
    <row r="38" spans="1:18">
      <c r="A38" s="28"/>
      <c r="B38"/>
    </row>
    <row r="39" spans="1:18">
      <c r="A39" s="28"/>
      <c r="B39"/>
    </row>
    <row r="40" spans="1:18">
      <c r="A40" s="28"/>
      <c r="B40"/>
    </row>
    <row r="41" spans="1:18">
      <c r="A41" s="28"/>
      <c r="B41"/>
    </row>
    <row r="42" spans="1:18">
      <c r="A42" s="28"/>
      <c r="B42"/>
    </row>
    <row r="43" spans="1:18">
      <c r="A43" s="28"/>
      <c r="B43"/>
    </row>
    <row r="44" spans="1:18">
      <c r="A44" s="28"/>
      <c r="B44"/>
    </row>
    <row r="45" spans="1:18">
      <c r="A45" s="28"/>
      <c r="B45"/>
    </row>
    <row r="46" spans="1:18" ht="21">
      <c r="A46" s="356" t="s">
        <v>123</v>
      </c>
      <c r="B46" s="356"/>
      <c r="C46" s="356"/>
      <c r="D46" s="356"/>
      <c r="E46" s="356"/>
    </row>
    <row r="47" spans="1:18">
      <c r="A47" s="28"/>
      <c r="B47"/>
    </row>
    <row r="48" spans="1:18" ht="21">
      <c r="A48" s="347" t="s">
        <v>124</v>
      </c>
      <c r="B48" s="347"/>
      <c r="J48" s="48">
        <v>1.5</v>
      </c>
      <c r="K48" s="48">
        <v>4.5</v>
      </c>
      <c r="L48" s="48">
        <v>5.5</v>
      </c>
      <c r="M48" s="48">
        <v>4.3</v>
      </c>
      <c r="N48" s="48">
        <v>6.5</v>
      </c>
      <c r="O48" s="48">
        <v>6.4</v>
      </c>
      <c r="P48" s="48">
        <v>3.3</v>
      </c>
      <c r="Q48" s="48">
        <v>6.1</v>
      </c>
      <c r="R48" s="48">
        <v>6.4</v>
      </c>
    </row>
    <row r="49" spans="1:18" ht="20.100000000000001" customHeight="1">
      <c r="A49" s="357" t="s">
        <v>125</v>
      </c>
      <c r="B49" s="359" t="s">
        <v>126</v>
      </c>
      <c r="C49" s="359"/>
      <c r="D49" s="359"/>
      <c r="E49" s="359"/>
      <c r="F49" s="359"/>
      <c r="K49" s="88">
        <f>K48+J48</f>
        <v>6</v>
      </c>
      <c r="L49" s="88">
        <f t="shared" ref="L49:R49" si="12">L48+K49</f>
        <v>11.5</v>
      </c>
      <c r="M49" s="88">
        <f t="shared" si="12"/>
        <v>15.8</v>
      </c>
      <c r="N49" s="88">
        <f t="shared" si="12"/>
        <v>22.3</v>
      </c>
      <c r="O49" s="88">
        <f t="shared" si="12"/>
        <v>28.700000000000003</v>
      </c>
      <c r="P49" s="88">
        <f t="shared" si="12"/>
        <v>32</v>
      </c>
      <c r="Q49" s="88">
        <f t="shared" si="12"/>
        <v>38.1</v>
      </c>
      <c r="R49" s="88">
        <f t="shared" si="12"/>
        <v>44.5</v>
      </c>
    </row>
    <row r="50" spans="1:18" ht="15" customHeight="1">
      <c r="A50" s="358"/>
      <c r="B50" s="25" t="s">
        <v>127</v>
      </c>
      <c r="C50" s="25" t="s">
        <v>128</v>
      </c>
      <c r="D50" s="25" t="s">
        <v>129</v>
      </c>
      <c r="E50" s="25" t="s">
        <v>130</v>
      </c>
      <c r="F50" s="25" t="s">
        <v>131</v>
      </c>
    </row>
    <row r="51" spans="1:18" ht="19.350000000000001" customHeight="1">
      <c r="A51" s="40" t="s">
        <v>277</v>
      </c>
      <c r="B51" s="41" t="s">
        <v>329</v>
      </c>
      <c r="C51" s="41" t="s">
        <v>330</v>
      </c>
      <c r="D51" s="41" t="s">
        <v>331</v>
      </c>
      <c r="E51" s="41" t="s">
        <v>332</v>
      </c>
      <c r="F51" s="41" t="s">
        <v>333</v>
      </c>
    </row>
    <row r="52" spans="1:18" ht="19.350000000000001" customHeight="1">
      <c r="A52" s="27" t="s">
        <v>135</v>
      </c>
      <c r="B52" s="42">
        <v>0.1</v>
      </c>
      <c r="C52" s="42">
        <v>0.2</v>
      </c>
      <c r="D52" s="42">
        <v>0.3</v>
      </c>
      <c r="E52" s="42">
        <v>0.4</v>
      </c>
      <c r="F52" s="42">
        <v>0.13</v>
      </c>
    </row>
    <row r="53" spans="1:18" ht="19.350000000000001" customHeight="1">
      <c r="A53" s="25" t="s">
        <v>136</v>
      </c>
      <c r="B53" s="25" t="s">
        <v>127</v>
      </c>
      <c r="C53" s="25" t="s">
        <v>128</v>
      </c>
      <c r="D53" s="25" t="s">
        <v>129</v>
      </c>
      <c r="E53" s="25" t="s">
        <v>130</v>
      </c>
      <c r="F53" s="25" t="s">
        <v>131</v>
      </c>
    </row>
    <row r="54" spans="1:18" ht="19.350000000000001" customHeight="1">
      <c r="A54" s="27"/>
      <c r="B54" s="41"/>
      <c r="C54" s="41"/>
      <c r="D54" s="41"/>
      <c r="E54" s="41"/>
      <c r="F54" s="41"/>
    </row>
    <row r="55" spans="1:18" ht="19.350000000000001" customHeight="1">
      <c r="A55" s="27" t="s">
        <v>135</v>
      </c>
      <c r="B55" s="42"/>
      <c r="C55" s="42"/>
      <c r="D55" s="42"/>
      <c r="E55" s="42"/>
      <c r="F55" s="42"/>
    </row>
    <row r="56" spans="1:18" ht="19.350000000000001" customHeight="1">
      <c r="A56" s="25" t="s">
        <v>136</v>
      </c>
      <c r="B56" s="25" t="s">
        <v>127</v>
      </c>
      <c r="C56" s="25" t="s">
        <v>128</v>
      </c>
      <c r="D56" s="25" t="s">
        <v>129</v>
      </c>
      <c r="E56" s="25" t="s">
        <v>130</v>
      </c>
      <c r="F56" s="25" t="s">
        <v>131</v>
      </c>
    </row>
    <row r="57" spans="1:18" ht="19.350000000000001" customHeight="1">
      <c r="A57" s="27"/>
      <c r="B57" s="41"/>
      <c r="C57" s="41"/>
      <c r="D57" s="41"/>
      <c r="E57" s="41"/>
      <c r="F57" s="41"/>
    </row>
    <row r="58" spans="1:18" ht="19.350000000000001" customHeight="1">
      <c r="A58" s="27" t="s">
        <v>135</v>
      </c>
      <c r="B58" s="42"/>
      <c r="C58" s="42"/>
      <c r="D58" s="42"/>
      <c r="E58" s="42"/>
      <c r="F58" s="42"/>
    </row>
    <row r="59" spans="1:18" ht="19.350000000000001" customHeight="1">
      <c r="A59" s="25" t="s">
        <v>136</v>
      </c>
      <c r="B59" s="25" t="s">
        <v>127</v>
      </c>
      <c r="C59" s="25" t="s">
        <v>128</v>
      </c>
      <c r="D59" s="25" t="s">
        <v>129</v>
      </c>
      <c r="E59" s="25" t="s">
        <v>130</v>
      </c>
      <c r="F59" s="25" t="s">
        <v>131</v>
      </c>
    </row>
    <row r="60" spans="1:18" ht="19.350000000000001" customHeight="1">
      <c r="A60" s="27"/>
      <c r="B60" s="41"/>
      <c r="C60" s="41"/>
      <c r="D60" s="41"/>
      <c r="E60" s="41"/>
      <c r="F60" s="41"/>
    </row>
    <row r="61" spans="1:18" ht="19.350000000000001" customHeight="1">
      <c r="A61" s="27" t="s">
        <v>135</v>
      </c>
      <c r="B61" s="42"/>
      <c r="C61" s="42"/>
      <c r="D61" s="42"/>
      <c r="E61" s="42"/>
      <c r="F61" s="42"/>
    </row>
    <row r="62" spans="1:18" ht="19.350000000000001" customHeight="1">
      <c r="A62" s="25" t="s">
        <v>136</v>
      </c>
      <c r="B62" s="25" t="s">
        <v>127</v>
      </c>
      <c r="C62" s="25" t="s">
        <v>128</v>
      </c>
      <c r="D62" s="25" t="s">
        <v>129</v>
      </c>
      <c r="E62" s="25" t="s">
        <v>130</v>
      </c>
      <c r="F62" s="25" t="s">
        <v>131</v>
      </c>
    </row>
    <row r="63" spans="1:18" ht="19.350000000000001" customHeight="1">
      <c r="A63" s="27"/>
      <c r="B63" s="41"/>
      <c r="C63" s="41"/>
      <c r="D63" s="41"/>
      <c r="E63" s="41"/>
      <c r="F63" s="41"/>
    </row>
    <row r="64" spans="1:18" ht="19.350000000000001" customHeight="1">
      <c r="A64" s="27" t="s">
        <v>135</v>
      </c>
      <c r="B64" s="42"/>
      <c r="C64" s="42"/>
      <c r="D64" s="42"/>
      <c r="E64" s="42"/>
      <c r="F64" s="42"/>
    </row>
    <row r="65" spans="1:6" ht="19.350000000000001" customHeight="1">
      <c r="A65" s="25" t="s">
        <v>136</v>
      </c>
      <c r="B65" s="25" t="s">
        <v>127</v>
      </c>
      <c r="C65" s="25" t="s">
        <v>128</v>
      </c>
      <c r="D65" s="25" t="s">
        <v>129</v>
      </c>
      <c r="E65" s="25" t="s">
        <v>130</v>
      </c>
      <c r="F65" s="25" t="s">
        <v>131</v>
      </c>
    </row>
    <row r="66" spans="1:6" ht="19.350000000000001" customHeight="1">
      <c r="A66" s="27"/>
      <c r="B66" s="41"/>
      <c r="C66" s="41"/>
      <c r="D66" s="41"/>
      <c r="E66" s="41"/>
      <c r="F66" s="41"/>
    </row>
    <row r="67" spans="1:6" ht="19.350000000000001" customHeight="1">
      <c r="A67" s="27" t="s">
        <v>135</v>
      </c>
      <c r="B67" s="42"/>
      <c r="C67" s="42"/>
      <c r="D67" s="42"/>
      <c r="E67" s="42"/>
      <c r="F67" s="42"/>
    </row>
    <row r="68" spans="1:6" ht="21">
      <c r="A68" s="10" t="s">
        <v>144</v>
      </c>
      <c r="B68"/>
    </row>
    <row r="69" spans="1:6">
      <c r="A69" s="28"/>
      <c r="B69"/>
    </row>
    <row r="70" spans="1:6">
      <c r="A70" s="28"/>
      <c r="B70"/>
    </row>
    <row r="71" spans="1:6">
      <c r="A71" s="28"/>
      <c r="B71"/>
    </row>
    <row r="72" spans="1:6">
      <c r="A72" s="28"/>
      <c r="B72"/>
    </row>
    <row r="73" spans="1:6">
      <c r="A73" s="28"/>
      <c r="B73"/>
    </row>
    <row r="74" spans="1:6">
      <c r="A74" s="28"/>
      <c r="B74"/>
    </row>
    <row r="75" spans="1:6">
      <c r="A75" s="28"/>
      <c r="B75"/>
    </row>
    <row r="76" spans="1:6">
      <c r="A76" s="28"/>
      <c r="B76"/>
    </row>
    <row r="77" spans="1:6">
      <c r="A77" s="28"/>
      <c r="B77"/>
    </row>
    <row r="78" spans="1:6">
      <c r="A78" s="28"/>
      <c r="B78"/>
    </row>
    <row r="79" spans="1:6">
      <c r="A79" s="28"/>
      <c r="B79"/>
    </row>
    <row r="80" spans="1:6">
      <c r="A80" s="28"/>
      <c r="B80"/>
    </row>
    <row r="81" spans="1:15">
      <c r="A81" s="28"/>
      <c r="B81"/>
    </row>
    <row r="82" spans="1:15">
      <c r="A82" s="28"/>
      <c r="B82"/>
    </row>
    <row r="83" spans="1:15" ht="15" thickBot="1">
      <c r="A83" s="28"/>
      <c r="B83"/>
    </row>
    <row r="84" spans="1:15" ht="18.95" thickBot="1">
      <c r="A84" s="360" t="s">
        <v>145</v>
      </c>
      <c r="B84" s="361"/>
      <c r="C84" s="361"/>
      <c r="D84" s="361"/>
      <c r="E84" s="361"/>
      <c r="F84" s="362"/>
      <c r="H84" s="364" t="s">
        <v>146</v>
      </c>
      <c r="I84" s="365"/>
      <c r="J84" s="365"/>
      <c r="K84" s="365"/>
      <c r="L84" s="365"/>
      <c r="M84" s="365"/>
      <c r="N84" s="365"/>
      <c r="O84" s="366"/>
    </row>
    <row r="85" spans="1:15" s="15" customFormat="1" ht="41.85" customHeight="1">
      <c r="A85" s="16" t="s">
        <v>136</v>
      </c>
      <c r="B85" s="17" t="s">
        <v>147</v>
      </c>
      <c r="C85" s="18" t="s">
        <v>148</v>
      </c>
      <c r="D85" s="19" t="s">
        <v>149</v>
      </c>
      <c r="E85" s="17" t="s">
        <v>150</v>
      </c>
      <c r="F85" s="20" t="s">
        <v>151</v>
      </c>
      <c r="G85"/>
      <c r="H85" s="21" t="s">
        <v>58</v>
      </c>
      <c r="I85" s="22" t="s">
        <v>152</v>
      </c>
      <c r="J85" s="22" t="s">
        <v>153</v>
      </c>
      <c r="K85" s="23" t="s">
        <v>154</v>
      </c>
      <c r="L85" s="23" t="s">
        <v>155</v>
      </c>
      <c r="M85" s="24" t="s">
        <v>156</v>
      </c>
      <c r="N85" s="23" t="s">
        <v>157</v>
      </c>
      <c r="O85" s="36" t="s">
        <v>158</v>
      </c>
    </row>
    <row r="86" spans="1:15" ht="16.5" customHeight="1">
      <c r="A86" s="330" t="s">
        <v>334</v>
      </c>
      <c r="B86" s="336"/>
      <c r="C86" s="336"/>
      <c r="D86" s="336"/>
      <c r="E86" s="337"/>
      <c r="F86" s="339">
        <v>1</v>
      </c>
      <c r="H86" s="330" t="s">
        <v>783</v>
      </c>
      <c r="I86" s="367"/>
      <c r="J86" s="367"/>
      <c r="K86" s="367"/>
      <c r="L86" s="367"/>
      <c r="M86" s="370" t="s">
        <v>338</v>
      </c>
      <c r="N86" s="367"/>
      <c r="O86" s="345"/>
    </row>
    <row r="87" spans="1:15" ht="18" customHeight="1">
      <c r="A87" s="331"/>
      <c r="B87" s="333"/>
      <c r="C87" s="333"/>
      <c r="D87" s="333"/>
      <c r="E87" s="338"/>
      <c r="F87" s="340"/>
      <c r="H87" s="331"/>
      <c r="I87" s="368"/>
      <c r="J87" s="368"/>
      <c r="K87" s="368"/>
      <c r="L87" s="368"/>
      <c r="M87" s="371"/>
      <c r="N87" s="368"/>
      <c r="O87" s="346"/>
    </row>
    <row r="88" spans="1:15" ht="17.100000000000001" customHeight="1">
      <c r="A88" s="330"/>
      <c r="B88" s="336"/>
      <c r="C88" s="336"/>
      <c r="D88" s="336"/>
      <c r="E88" s="337"/>
      <c r="F88" s="339">
        <v>1</v>
      </c>
      <c r="H88" s="330"/>
      <c r="I88" s="367"/>
      <c r="J88" s="367"/>
      <c r="K88" s="367"/>
      <c r="L88" s="367"/>
      <c r="M88" s="370" t="s">
        <v>820</v>
      </c>
      <c r="N88" s="367"/>
      <c r="O88" s="345"/>
    </row>
    <row r="89" spans="1:15" ht="17.100000000000001" customHeight="1">
      <c r="A89" s="331"/>
      <c r="B89" s="333"/>
      <c r="C89" s="333"/>
      <c r="D89" s="333"/>
      <c r="E89" s="338"/>
      <c r="F89" s="340"/>
      <c r="H89" s="331"/>
      <c r="I89" s="368"/>
      <c r="J89" s="368"/>
      <c r="K89" s="368"/>
      <c r="L89" s="368"/>
      <c r="M89" s="371"/>
      <c r="N89" s="368"/>
      <c r="O89" s="346"/>
    </row>
    <row r="90" spans="1:15" ht="17.100000000000001" customHeight="1">
      <c r="A90" s="330"/>
      <c r="B90" s="336"/>
      <c r="C90" s="336"/>
      <c r="D90" s="336"/>
      <c r="E90" s="337"/>
      <c r="F90" s="339">
        <v>1</v>
      </c>
      <c r="H90" s="330"/>
      <c r="I90" s="367"/>
      <c r="J90" s="367"/>
      <c r="K90" s="367"/>
      <c r="L90" s="367"/>
      <c r="M90" s="370"/>
      <c r="N90" s="367"/>
      <c r="O90" s="345"/>
    </row>
    <row r="91" spans="1:15" ht="16.5" customHeight="1">
      <c r="A91" s="331"/>
      <c r="B91" s="333"/>
      <c r="C91" s="333"/>
      <c r="D91" s="333"/>
      <c r="E91" s="338"/>
      <c r="F91" s="340"/>
      <c r="H91" s="331"/>
      <c r="I91" s="368"/>
      <c r="J91" s="368"/>
      <c r="K91" s="368"/>
      <c r="L91" s="368"/>
      <c r="M91" s="371"/>
      <c r="N91" s="368"/>
      <c r="O91" s="346"/>
    </row>
    <row r="92" spans="1:15" ht="16.5" customHeight="1">
      <c r="A92" s="330"/>
      <c r="B92" s="336"/>
      <c r="C92" s="336"/>
      <c r="D92" s="336"/>
      <c r="E92" s="337"/>
      <c r="F92" s="339">
        <v>1</v>
      </c>
      <c r="H92" s="330"/>
      <c r="I92" s="367"/>
      <c r="J92" s="367"/>
      <c r="K92" s="367"/>
      <c r="L92" s="367"/>
      <c r="M92" s="370"/>
      <c r="N92" s="367"/>
      <c r="O92" s="345"/>
    </row>
    <row r="93" spans="1:15" ht="16.5" customHeight="1">
      <c r="A93" s="331"/>
      <c r="B93" s="333"/>
      <c r="C93" s="333"/>
      <c r="D93" s="333"/>
      <c r="E93" s="338"/>
      <c r="F93" s="340"/>
      <c r="H93" s="331"/>
      <c r="I93" s="368"/>
      <c r="J93" s="368"/>
      <c r="K93" s="368"/>
      <c r="L93" s="368"/>
      <c r="M93" s="371"/>
      <c r="N93" s="368"/>
      <c r="O93" s="346"/>
    </row>
    <row r="94" spans="1:15" ht="16.5" customHeight="1">
      <c r="A94" s="330"/>
      <c r="B94" s="336"/>
      <c r="C94" s="336"/>
      <c r="D94" s="336"/>
      <c r="E94" s="337"/>
      <c r="F94" s="339">
        <v>1</v>
      </c>
      <c r="H94" s="330"/>
      <c r="I94" s="367"/>
      <c r="J94" s="367"/>
      <c r="K94" s="367"/>
      <c r="L94" s="367"/>
      <c r="M94" s="370"/>
      <c r="N94" s="367"/>
      <c r="O94" s="345"/>
    </row>
    <row r="95" spans="1:15" ht="16.5" customHeight="1">
      <c r="A95" s="331"/>
      <c r="B95" s="333"/>
      <c r="C95" s="333"/>
      <c r="D95" s="333"/>
      <c r="E95" s="338"/>
      <c r="F95" s="340"/>
      <c r="H95" s="331"/>
      <c r="I95" s="368"/>
      <c r="J95" s="368"/>
      <c r="K95" s="368"/>
      <c r="L95" s="368"/>
      <c r="M95" s="371"/>
      <c r="N95" s="368"/>
      <c r="O95" s="346"/>
    </row>
    <row r="96" spans="1:15" ht="16.5" customHeight="1">
      <c r="A96" s="330"/>
      <c r="B96" s="336"/>
      <c r="C96" s="336"/>
      <c r="D96" s="336"/>
      <c r="E96" s="337"/>
      <c r="F96" s="339">
        <v>1</v>
      </c>
      <c r="H96" s="330"/>
      <c r="I96" s="367"/>
      <c r="J96" s="367"/>
      <c r="K96" s="367"/>
      <c r="L96" s="367"/>
      <c r="M96" s="370"/>
      <c r="N96" s="367"/>
      <c r="O96" s="345"/>
    </row>
    <row r="97" spans="1:15" ht="17.100000000000001" customHeight="1" thickBot="1">
      <c r="A97" s="331"/>
      <c r="B97" s="384"/>
      <c r="C97" s="384"/>
      <c r="D97" s="384"/>
      <c r="E97" s="460"/>
      <c r="F97" s="340"/>
      <c r="H97" s="376"/>
      <c r="I97" s="379"/>
      <c r="J97" s="379"/>
      <c r="K97" s="379"/>
      <c r="L97" s="379"/>
      <c r="M97" s="380"/>
      <c r="N97" s="379"/>
      <c r="O97" s="381"/>
    </row>
    <row r="98" spans="1:15">
      <c r="A98" s="34" t="s">
        <v>195</v>
      </c>
      <c r="B98" s="34" t="s">
        <v>196</v>
      </c>
      <c r="C98" s="35" t="s">
        <v>197</v>
      </c>
      <c r="D98" s="35" t="s">
        <v>198</v>
      </c>
      <c r="E98" s="377" t="s">
        <v>199</v>
      </c>
      <c r="F98" s="378"/>
      <c r="G98" s="28"/>
    </row>
    <row r="99" spans="1:15">
      <c r="A99" s="28"/>
      <c r="C99" s="28"/>
      <c r="D99" s="28"/>
      <c r="E99" s="28"/>
      <c r="F99" s="28"/>
      <c r="G99" s="28"/>
    </row>
    <row r="100" spans="1:15">
      <c r="C100" s="28"/>
      <c r="D100" s="28"/>
      <c r="E100" s="28"/>
      <c r="F100" s="28"/>
      <c r="G100" s="28"/>
      <c r="H100" s="28"/>
    </row>
  </sheetData>
  <mergeCells count="162">
    <mergeCell ref="F96:F97"/>
    <mergeCell ref="H96:H97"/>
    <mergeCell ref="F94:F95"/>
    <mergeCell ref="H94:H95"/>
    <mergeCell ref="O96:O97"/>
    <mergeCell ref="E98:F98"/>
    <mergeCell ref="I96:I97"/>
    <mergeCell ref="J96:J97"/>
    <mergeCell ref="K96:K97"/>
    <mergeCell ref="L96:L97"/>
    <mergeCell ref="M96:M97"/>
    <mergeCell ref="N96:N97"/>
    <mergeCell ref="M94:M95"/>
    <mergeCell ref="N94:N95"/>
    <mergeCell ref="O94:O95"/>
    <mergeCell ref="I94:I95"/>
    <mergeCell ref="J94:J95"/>
    <mergeCell ref="K94:K95"/>
    <mergeCell ref="L94:L95"/>
    <mergeCell ref="A94:A95"/>
    <mergeCell ref="B94:B95"/>
    <mergeCell ref="C94:C95"/>
    <mergeCell ref="D94:D95"/>
    <mergeCell ref="E94:E95"/>
    <mergeCell ref="A96:A97"/>
    <mergeCell ref="B96:B97"/>
    <mergeCell ref="C96:C97"/>
    <mergeCell ref="D96:D97"/>
    <mergeCell ref="E96:E97"/>
    <mergeCell ref="K90:K91"/>
    <mergeCell ref="L90:L91"/>
    <mergeCell ref="M90:M91"/>
    <mergeCell ref="N90:N91"/>
    <mergeCell ref="K92:K93"/>
    <mergeCell ref="L92:L93"/>
    <mergeCell ref="M92:M93"/>
    <mergeCell ref="N92:N93"/>
    <mergeCell ref="O92:O93"/>
    <mergeCell ref="A92:A93"/>
    <mergeCell ref="B92:B93"/>
    <mergeCell ref="C92:C93"/>
    <mergeCell ref="D92:D93"/>
    <mergeCell ref="E92:E93"/>
    <mergeCell ref="F92:F93"/>
    <mergeCell ref="H92:H93"/>
    <mergeCell ref="I92:I93"/>
    <mergeCell ref="J92:J93"/>
    <mergeCell ref="A88:A89"/>
    <mergeCell ref="B88:B89"/>
    <mergeCell ref="C88:C89"/>
    <mergeCell ref="D88:D89"/>
    <mergeCell ref="E88:E89"/>
    <mergeCell ref="M88:M89"/>
    <mergeCell ref="N88:N89"/>
    <mergeCell ref="O88:O89"/>
    <mergeCell ref="A90:A91"/>
    <mergeCell ref="B90:B91"/>
    <mergeCell ref="C90:C91"/>
    <mergeCell ref="D90:D91"/>
    <mergeCell ref="E90:E91"/>
    <mergeCell ref="F90:F91"/>
    <mergeCell ref="H90:H91"/>
    <mergeCell ref="F88:F89"/>
    <mergeCell ref="H88:H89"/>
    <mergeCell ref="I88:I89"/>
    <mergeCell ref="J88:J89"/>
    <mergeCell ref="K88:K89"/>
    <mergeCell ref="L88:L89"/>
    <mergeCell ref="O90:O91"/>
    <mergeCell ref="I90:I91"/>
    <mergeCell ref="J90:J91"/>
    <mergeCell ref="H84:O84"/>
    <mergeCell ref="A86:A87"/>
    <mergeCell ref="B86:B87"/>
    <mergeCell ref="C86:C87"/>
    <mergeCell ref="D86:D87"/>
    <mergeCell ref="E86:E87"/>
    <mergeCell ref="F86:F87"/>
    <mergeCell ref="H86:H87"/>
    <mergeCell ref="I86:I87"/>
    <mergeCell ref="J86:J87"/>
    <mergeCell ref="K86:K87"/>
    <mergeCell ref="L86:L87"/>
    <mergeCell ref="M86:M87"/>
    <mergeCell ref="N86:N87"/>
    <mergeCell ref="O86:O87"/>
    <mergeCell ref="G26:G27"/>
    <mergeCell ref="A46:E46"/>
    <mergeCell ref="A48:B48"/>
    <mergeCell ref="A49:A50"/>
    <mergeCell ref="B49:F49"/>
    <mergeCell ref="A84:F84"/>
    <mergeCell ref="A26:A27"/>
    <mergeCell ref="B26:B27"/>
    <mergeCell ref="C26:C27"/>
    <mergeCell ref="D26:D27"/>
    <mergeCell ref="E26:E27"/>
    <mergeCell ref="F26:F27"/>
    <mergeCell ref="G20:G21"/>
    <mergeCell ref="A24:A25"/>
    <mergeCell ref="B24:B25"/>
    <mergeCell ref="C24:C25"/>
    <mergeCell ref="D24:D25"/>
    <mergeCell ref="E24:E25"/>
    <mergeCell ref="F24:F25"/>
    <mergeCell ref="G24:G25"/>
    <mergeCell ref="A20:A21"/>
    <mergeCell ref="B20:B21"/>
    <mergeCell ref="C20:C21"/>
    <mergeCell ref="D20:D21"/>
    <mergeCell ref="E20:E21"/>
    <mergeCell ref="F20:F21"/>
    <mergeCell ref="A22:A23"/>
    <mergeCell ref="B22:B23"/>
    <mergeCell ref="C22:C23"/>
    <mergeCell ref="D22:D23"/>
    <mergeCell ref="E22:E23"/>
    <mergeCell ref="F22:F23"/>
    <mergeCell ref="G22:G23"/>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s>
  <conditionalFormatting sqref="A86:A97">
    <cfRule type="containsBlanks" dxfId="59" priority="30">
      <formula>LEN(TRIM(A86))=0</formula>
    </cfRule>
  </conditionalFormatting>
  <conditionalFormatting sqref="A51:F51 B52:F52 A54:F54 B55:F55 A57:F57 B58:F58 A60:F60 B61:F61 A63:F63 B64:F64 A66:F66 B67:F67">
    <cfRule type="containsBlanks" dxfId="58" priority="29">
      <formula>LEN(TRIM(A51))=0</formula>
    </cfRule>
  </conditionalFormatting>
  <conditionalFormatting sqref="A6:G6 A8:G8">
    <cfRule type="containsBlanks" dxfId="57" priority="19">
      <formula>LEN(TRIM(A6))=0</formula>
    </cfRule>
  </conditionalFormatting>
  <conditionalFormatting sqref="A10:G10">
    <cfRule type="containsBlanks" dxfId="56" priority="18">
      <formula>LEN(TRIM(A10))=0</formula>
    </cfRule>
  </conditionalFormatting>
  <conditionalFormatting sqref="A14:G14 A16:G16 A18:G18 A20:G20 A24:G24 A26:G26">
    <cfRule type="containsBlanks" dxfId="55" priority="17">
      <formula>LEN(TRIM(A14))=0</formula>
    </cfRule>
  </conditionalFormatting>
  <conditionalFormatting sqref="A22:G22">
    <cfRule type="containsBlanks" dxfId="54" priority="7">
      <formula>LEN(TRIM(A22))=0</formula>
    </cfRule>
  </conditionalFormatting>
  <conditionalFormatting sqref="B86:E86 B88:E88 B90:E90 B92:E92 B94:E94 B96:E96">
    <cfRule type="containsBlanks" dxfId="53" priority="32">
      <formula>LEN(TRIM(B86))=0</formula>
    </cfRule>
  </conditionalFormatting>
  <conditionalFormatting sqref="D1">
    <cfRule type="containsBlanks" dxfId="52" priority="25">
      <formula>LEN(TRIM(D1))=0</formula>
    </cfRule>
  </conditionalFormatting>
  <conditionalFormatting sqref="F1">
    <cfRule type="containsBlanks" dxfId="51" priority="6">
      <formula>LEN(TRIM(F1))=0</formula>
    </cfRule>
  </conditionalFormatting>
  <conditionalFormatting sqref="F86 F88 F90 F92 F94 F96">
    <cfRule type="expression" dxfId="50" priority="34">
      <formula>AND(#REF!&lt;&gt;"",E86&lt;TODAY(),F86&lt;4)</formula>
    </cfRule>
    <cfRule type="iconSet" priority="33">
      <iconSet iconSet="5Quarters" showValue="0">
        <cfvo type="percent" val="0"/>
        <cfvo type="num" val="2"/>
        <cfvo type="num" val="3"/>
        <cfvo type="num" val="4"/>
        <cfvo type="num" val="5"/>
      </iconSet>
    </cfRule>
  </conditionalFormatting>
  <conditionalFormatting sqref="H86:H97">
    <cfRule type="containsBlanks" dxfId="49" priority="28">
      <formula>LEN(TRIM(H86))=0</formula>
    </cfRule>
  </conditionalFormatting>
  <conditionalFormatting sqref="I86:O86 I88:O88 I90:O90 I92:O92 I94:O94 I96:O96">
    <cfRule type="containsBlanks" dxfId="48" priority="31">
      <formula>LEN(TRIM(I86))=0</formula>
    </cfRule>
  </conditionalFormatting>
  <conditionalFormatting sqref="I7:T7 I9:T9 I11:T11">
    <cfRule type="containsBlanks" dxfId="47" priority="20">
      <formula>LEN(TRIM(I7))=0</formula>
    </cfRule>
    <cfRule type="expression" dxfId="46" priority="21">
      <formula>AND(OR($F6="Lower the better", $F6="Lower the Better"), I7&gt;I6)</formula>
    </cfRule>
    <cfRule type="expression" dxfId="45" priority="22">
      <formula>AND(OR($F6="Lower the better", $F6="Lower the Better"), I7&lt;=I6)</formula>
    </cfRule>
    <cfRule type="expression" dxfId="44" priority="23">
      <formula>AND(OR($F6="Higher the better", $F6="Higher the Better"), I7&lt;I6)</formula>
    </cfRule>
    <cfRule type="expression" dxfId="43" priority="24" stopIfTrue="1">
      <formula>AND(OR($F6="Higher the better", $F6="Higher the Better"), I7&gt;=I6)</formula>
    </cfRule>
  </conditionalFormatting>
  <conditionalFormatting sqref="I15:T15 I17:T17 I19:T19 I21:T21 I25:T25 I27:T27">
    <cfRule type="containsBlanks" dxfId="42" priority="8">
      <formula>LEN(TRIM(I15))=0</formula>
    </cfRule>
  </conditionalFormatting>
  <conditionalFormatting sqref="I15:T15">
    <cfRule type="expression" dxfId="41" priority="15">
      <formula>AND(OR($F14="Higher the better", $F14="Higher the Better"), I15&lt;I14)</formula>
    </cfRule>
    <cfRule type="expression" dxfId="40" priority="14">
      <formula>AND(OR($F14="Lower the better", $F14="Lower the Better"), I15&lt;=I14)</formula>
    </cfRule>
    <cfRule type="expression" dxfId="39" priority="13">
      <formula>AND(OR($F14="Lower the better", $F14="Lower the Better"), I15&gt;I14)</formula>
    </cfRule>
    <cfRule type="expression" dxfId="38" priority="16" stopIfTrue="1">
      <formula>AND(OR($F14="Higher the better", $F14="Higher the Better"), I15&gt;=I14)</formula>
    </cfRule>
  </conditionalFormatting>
  <conditionalFormatting sqref="I17:T17 I19:T19 I21:T21 I25:T25 I27:T27">
    <cfRule type="expression" dxfId="37" priority="9">
      <formula>AND(OR($F16="Lower the better", $F16="Lower the Better"), I17&gt;I16)</formula>
    </cfRule>
    <cfRule type="expression" dxfId="36" priority="10">
      <formula>AND(OR($F16="Lower the better", $F16="Lower the Better"), I17&lt;=I16)</formula>
    </cfRule>
    <cfRule type="expression" dxfId="35" priority="11">
      <formula>AND(OR($F16="Higher the better", $F16="Higher the Better"), I17&lt;I16)</formula>
    </cfRule>
    <cfRule type="expression" dxfId="34" priority="12" stopIfTrue="1">
      <formula>AND(OR($F16="Higher the better", $F16="Higher the Better"), I17&gt;=I16)</formula>
    </cfRule>
  </conditionalFormatting>
  <conditionalFormatting sqref="I23:T23">
    <cfRule type="expression" dxfId="33" priority="2">
      <formula>AND(OR($F22="Lower the better", $F22="Lower the Better"), I23&gt;I22)</formula>
    </cfRule>
    <cfRule type="expression" dxfId="32" priority="3">
      <formula>AND(OR($F22="Lower the better", $F22="Lower the Better"), I23&lt;=I22)</formula>
    </cfRule>
    <cfRule type="expression" dxfId="31" priority="4">
      <formula>AND(OR($F22="Higher the better", $F22="Higher the Better"), I23&lt;I22)</formula>
    </cfRule>
    <cfRule type="expression" dxfId="30" priority="5" stopIfTrue="1">
      <formula>AND(OR($F22="Higher the better", $F22="Higher the Better"), I23&gt;=I22)</formula>
    </cfRule>
    <cfRule type="containsBlanks" dxfId="29" priority="1">
      <formula>LEN(TRIM(I23))=0</formula>
    </cfRule>
  </conditionalFormatting>
  <conditionalFormatting sqref="M86:M97">
    <cfRule type="containsText" dxfId="28" priority="26" operator="containsText" text="No">
      <formula>NOT(ISERROR(SEARCH("No",M86)))</formula>
    </cfRule>
    <cfRule type="containsText" dxfId="27" priority="27" operator="containsText" text="Yes">
      <formula>NOT(ISERROR(SEARCH("Yes",M86)))</formula>
    </cfRule>
  </conditionalFormatting>
  <dataValidations count="7">
    <dataValidation type="list" allowBlank="1" showInputMessage="1" showErrorMessage="1" sqref="F86:G86 F88:G88 F90:G90 F92:G92 F94:G94 F96:G96" xr:uid="{D109D6B2-2FBC-47C4-8C0B-08C91E653364}">
      <formula1>"1,2,3,4,5"</formula1>
    </dataValidation>
    <dataValidation type="list" allowBlank="1" showInputMessage="1" showErrorMessage="1" sqref="F6:F11 F14:F27" xr:uid="{5B61E612-9205-4E17-A2FE-0F23824B6F87}">
      <formula1>"Higher the better, Lower the better"</formula1>
    </dataValidation>
    <dataValidation type="list" allowBlank="1" showInputMessage="1" showErrorMessage="1" sqref="G6:G11 G14:G27" xr:uid="{5AF6DF46-DBAF-402F-8C2A-73954B0383E4}">
      <formula1>"Monthly, Quarterly, Half yearly"</formula1>
    </dataValidation>
    <dataValidation type="list" allowBlank="1" showInputMessage="1" showErrorMessage="1" sqref="C6:C11 C14:C27" xr:uid="{2E695A97-19A2-4F30-8E28-8A2082CDDF74}">
      <formula1>"&gt;, &lt;, &gt;=, &lt;=, ="</formula1>
    </dataValidation>
    <dataValidation type="list" allowBlank="1" showInputMessage="1" showErrorMessage="1" sqref="M86 M88 M90 M92 M94 M96" xr:uid="{D2DAE1D8-77B5-43F6-8770-2A08E1DE0BBE}">
      <formula1>"Yes, No"</formula1>
    </dataValidation>
    <dataValidation type="list" allowBlank="1" showInputMessage="1" showErrorMessage="1" sqref="B1:B2" xr:uid="{8303BC53-FA11-43A8-BD6C-5645A4DA5AD9}">
      <formula1>"Jan-2026, Feb-2026, Mar-2026, Apr-2026, May-2026, Jun-2026, Jul-2026, Aug-2026, Sep-2026, Oct-2026, Nov-2026, Dec-2026"</formula1>
    </dataValidation>
    <dataValidation type="list" allowBlank="1" showInputMessage="1" showErrorMessage="1" sqref="E6:E11 E14:E27" xr:uid="{8870F8A8-58DA-4D23-94D2-D2C13DEF0E3F}">
      <formula1>"%, Mn, No., "</formula1>
    </dataValidation>
  </dataValidations>
  <pageMargins left="0.7" right="0.7" top="0.75" bottom="0.75" header="0.3" footer="0.3"/>
  <pageSetup orientation="portrait" r:id="rId1"/>
  <customProperties>
    <customPr name="_pios_id" r:id="rId2"/>
  </customProperties>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935EC-C7D1-466A-B79F-E8B76973BC53}">
  <sheetPr codeName="Sheet14"/>
  <dimension ref="A1:AI98"/>
  <sheetViews>
    <sheetView zoomScale="80" zoomScaleNormal="80" workbookViewId="0">
      <selection activeCell="A5" sqref="A5"/>
    </sheetView>
  </sheetViews>
  <sheetFormatPr defaultRowHeight="14.45"/>
  <cols>
    <col min="1" max="1" width="21" customWidth="1"/>
    <col min="2" max="2" width="18.42578125" style="28" customWidth="1"/>
    <col min="3" max="3" width="20.42578125" customWidth="1"/>
    <col min="4" max="4" width="19.5703125" customWidth="1"/>
    <col min="5" max="6" width="20.5703125" customWidth="1"/>
    <col min="7" max="7" width="12" customWidth="1"/>
    <col min="8" max="8" width="14.5703125"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3" width="11.42578125" hidden="1" customWidth="1"/>
    <col min="24" max="24" width="8.5703125" hidden="1" customWidth="1"/>
    <col min="25" max="25" width="14.42578125" hidden="1" customWidth="1"/>
    <col min="26" max="35" width="8.5703125" hidden="1" customWidth="1"/>
    <col min="36" max="49" width="8.5703125" customWidth="1"/>
  </cols>
  <sheetData>
    <row r="1" spans="1:35" ht="19.350000000000001" customHeight="1">
      <c r="A1" s="12" t="s">
        <v>0</v>
      </c>
      <c r="B1" s="30">
        <v>46023</v>
      </c>
      <c r="C1" s="12" t="s">
        <v>88</v>
      </c>
      <c r="D1" s="12" t="s">
        <v>841</v>
      </c>
      <c r="E1" s="12" t="s">
        <v>89</v>
      </c>
      <c r="F1" s="39"/>
      <c r="W1" t="s">
        <v>90</v>
      </c>
      <c r="X1" t="e">
        <f t="shared" ref="X1:AI1" si="0">IF(I15&lt;&gt;"",IF($F14="Higher the better",IF(I15&gt;=I14,I15,NA()),IF(I15&lt;=I14,I15,NA())),NA())</f>
        <v>#N/A</v>
      </c>
      <c r="Y1" t="e">
        <f t="shared" si="0"/>
        <v>#N/A</v>
      </c>
      <c r="Z1" t="e">
        <f t="shared" si="0"/>
        <v>#N/A</v>
      </c>
      <c r="AA1" t="e">
        <f t="shared" si="0"/>
        <v>#N/A</v>
      </c>
      <c r="AB1" t="e">
        <f t="shared" si="0"/>
        <v>#N/A</v>
      </c>
      <c r="AC1" t="e">
        <f t="shared" si="0"/>
        <v>#N/A</v>
      </c>
      <c r="AD1" t="e">
        <f t="shared" si="0"/>
        <v>#N/A</v>
      </c>
      <c r="AE1" t="e">
        <f t="shared" si="0"/>
        <v>#N/A</v>
      </c>
      <c r="AF1" t="e">
        <f t="shared" si="0"/>
        <v>#N/A</v>
      </c>
      <c r="AG1" t="e">
        <f t="shared" si="0"/>
        <v>#N/A</v>
      </c>
      <c r="AH1" t="e">
        <f t="shared" si="0"/>
        <v>#N/A</v>
      </c>
      <c r="AI1" t="e">
        <f t="shared" si="0"/>
        <v>#N/A</v>
      </c>
    </row>
    <row r="2" spans="1:35" ht="19.350000000000001" customHeight="1">
      <c r="A2" s="13"/>
      <c r="B2" s="37"/>
      <c r="D2" s="13"/>
      <c r="E2" s="13"/>
      <c r="W2" t="s">
        <v>91</v>
      </c>
      <c r="X2" t="e">
        <f t="shared" ref="X2:AI2" si="1">IF(I15&lt;&gt;"",IF($F14="Higher the better",IF(I15&lt;I14,I15,NA()),IF(I15&gt;I14,I15,NA())),NA())</f>
        <v>#N/A</v>
      </c>
      <c r="Y2" t="e">
        <f t="shared" si="1"/>
        <v>#N/A</v>
      </c>
      <c r="Z2" t="e">
        <f t="shared" si="1"/>
        <v>#N/A</v>
      </c>
      <c r="AA2" t="e">
        <f t="shared" si="1"/>
        <v>#N/A</v>
      </c>
      <c r="AB2" t="e">
        <f t="shared" si="1"/>
        <v>#N/A</v>
      </c>
      <c r="AC2" t="e">
        <f t="shared" si="1"/>
        <v>#N/A</v>
      </c>
      <c r="AD2" t="e">
        <f t="shared" si="1"/>
        <v>#N/A</v>
      </c>
      <c r="AE2" t="e">
        <f t="shared" si="1"/>
        <v>#N/A</v>
      </c>
      <c r="AF2" t="e">
        <f t="shared" si="1"/>
        <v>#N/A</v>
      </c>
      <c r="AG2" t="e">
        <f t="shared" si="1"/>
        <v>#N/A</v>
      </c>
      <c r="AH2" t="e">
        <f t="shared" si="1"/>
        <v>#N/A</v>
      </c>
      <c r="AI2" t="e">
        <f t="shared" si="1"/>
        <v>#N/A</v>
      </c>
    </row>
    <row r="3" spans="1:35" ht="20.100000000000001" customHeight="1">
      <c r="A3" s="347" t="s">
        <v>842</v>
      </c>
      <c r="B3" s="347"/>
      <c r="W3" t="s">
        <v>90</v>
      </c>
      <c r="X3" t="e">
        <f t="shared" ref="X3:AI3" si="2">IF(I17&lt;&gt;"",IF($F16="Higher the better",IF(I17&gt;=I16,I17,NA()),IF(I17&lt;=I16,I17,NA())),NA())</f>
        <v>#N/A</v>
      </c>
      <c r="Y3" t="e">
        <f t="shared" si="2"/>
        <v>#N/A</v>
      </c>
      <c r="Z3" t="e">
        <f t="shared" si="2"/>
        <v>#N/A</v>
      </c>
      <c r="AA3" t="e">
        <f t="shared" si="2"/>
        <v>#N/A</v>
      </c>
      <c r="AB3" t="e">
        <f t="shared" si="2"/>
        <v>#N/A</v>
      </c>
      <c r="AC3" t="e">
        <f t="shared" si="2"/>
        <v>#N/A</v>
      </c>
      <c r="AD3" t="e">
        <f t="shared" si="2"/>
        <v>#N/A</v>
      </c>
      <c r="AE3" t="e">
        <f t="shared" si="2"/>
        <v>#N/A</v>
      </c>
      <c r="AF3" t="e">
        <f t="shared" si="2"/>
        <v>#N/A</v>
      </c>
      <c r="AG3" t="e">
        <f t="shared" si="2"/>
        <v>#N/A</v>
      </c>
      <c r="AH3" t="e">
        <f t="shared" si="2"/>
        <v>#N/A</v>
      </c>
      <c r="AI3" t="e">
        <f t="shared" si="2"/>
        <v>#N/A</v>
      </c>
    </row>
    <row r="4" spans="1:35" ht="18.600000000000001" customHeight="1">
      <c r="A4" s="11" t="s">
        <v>93</v>
      </c>
      <c r="B4" s="11"/>
      <c r="W4" t="s">
        <v>91</v>
      </c>
      <c r="X4" t="e">
        <f t="shared" ref="X4:AI4" si="3">IF(I17&lt;&gt;"",IF($F16="Higher the better",IF(I17&lt;I16,I17,NA()),IF(I17&gt;I16,I17,NA())),NA())</f>
        <v>#N/A</v>
      </c>
      <c r="Y4" t="e">
        <f t="shared" si="3"/>
        <v>#N/A</v>
      </c>
      <c r="Z4" t="e">
        <f t="shared" si="3"/>
        <v>#N/A</v>
      </c>
      <c r="AA4" t="e">
        <f t="shared" si="3"/>
        <v>#N/A</v>
      </c>
      <c r="AB4" t="e">
        <f t="shared" si="3"/>
        <v>#N/A</v>
      </c>
      <c r="AC4" t="e">
        <f t="shared" si="3"/>
        <v>#N/A</v>
      </c>
      <c r="AD4" t="e">
        <f t="shared" si="3"/>
        <v>#N/A</v>
      </c>
      <c r="AE4" t="e">
        <f t="shared" si="3"/>
        <v>#N/A</v>
      </c>
      <c r="AF4" t="e">
        <f t="shared" si="3"/>
        <v>#N/A</v>
      </c>
      <c r="AG4" t="e">
        <f t="shared" si="3"/>
        <v>#N/A</v>
      </c>
      <c r="AH4" t="e">
        <f t="shared" si="3"/>
        <v>#N/A</v>
      </c>
      <c r="AI4" t="e">
        <f t="shared" si="3"/>
        <v>#N/A</v>
      </c>
    </row>
    <row r="5" spans="1:35"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t="e">
        <f t="shared" ref="X5:AI5" si="4">IF(I19&lt;&gt;"",IF($F18="Higher the better",IF(I19&gt;=I18,I19,NA()),IF(I19&lt;=I18,I19,NA())),NA())</f>
        <v>#N/A</v>
      </c>
      <c r="Y5" t="e">
        <f t="shared" si="4"/>
        <v>#N/A</v>
      </c>
      <c r="Z5" t="e">
        <f t="shared" si="4"/>
        <v>#N/A</v>
      </c>
      <c r="AA5" t="e">
        <f t="shared" si="4"/>
        <v>#N/A</v>
      </c>
      <c r="AB5" t="e">
        <f t="shared" si="4"/>
        <v>#N/A</v>
      </c>
      <c r="AC5" t="e">
        <f t="shared" si="4"/>
        <v>#N/A</v>
      </c>
      <c r="AD5" t="e">
        <f t="shared" si="4"/>
        <v>#N/A</v>
      </c>
      <c r="AE5" t="e">
        <f t="shared" si="4"/>
        <v>#N/A</v>
      </c>
      <c r="AF5" t="e">
        <f t="shared" si="4"/>
        <v>#N/A</v>
      </c>
      <c r="AG5" t="e">
        <f t="shared" si="4"/>
        <v>#N/A</v>
      </c>
      <c r="AH5" t="e">
        <f t="shared" si="4"/>
        <v>#N/A</v>
      </c>
      <c r="AI5" t="e">
        <f t="shared" si="4"/>
        <v>#N/A</v>
      </c>
    </row>
    <row r="6" spans="1:35">
      <c r="A6" s="348" t="s">
        <v>843</v>
      </c>
      <c r="B6" s="350"/>
      <c r="C6" s="328"/>
      <c r="D6" s="336"/>
      <c r="E6" s="328"/>
      <c r="F6" s="336"/>
      <c r="G6" s="328"/>
      <c r="H6" s="14" t="s">
        <v>29</v>
      </c>
      <c r="I6" s="44"/>
      <c r="J6" s="44"/>
      <c r="K6" s="44"/>
      <c r="L6" s="44"/>
      <c r="M6" s="44"/>
      <c r="N6" s="44"/>
      <c r="O6" s="44"/>
      <c r="P6" s="44"/>
      <c r="Q6" s="44"/>
      <c r="R6" s="44"/>
      <c r="S6" s="44"/>
      <c r="T6" s="44"/>
      <c r="W6" t="s">
        <v>91</v>
      </c>
      <c r="X6" t="e">
        <f t="shared" ref="X6:AI6" si="5">IF(I19&lt;&gt;"",IF($F18="Higher the better",IF(I19&lt;I18,I19,NA()),IF(I19&gt;I18,I19,NA())),NA())</f>
        <v>#N/A</v>
      </c>
      <c r="Y6" t="e">
        <f t="shared" si="5"/>
        <v>#N/A</v>
      </c>
      <c r="Z6" t="e">
        <f t="shared" si="5"/>
        <v>#N/A</v>
      </c>
      <c r="AA6" t="e">
        <f t="shared" si="5"/>
        <v>#N/A</v>
      </c>
      <c r="AB6" t="e">
        <f t="shared" si="5"/>
        <v>#N/A</v>
      </c>
      <c r="AC6" t="e">
        <f t="shared" si="5"/>
        <v>#N/A</v>
      </c>
      <c r="AD6" t="e">
        <f t="shared" si="5"/>
        <v>#N/A</v>
      </c>
      <c r="AE6" t="e">
        <f t="shared" si="5"/>
        <v>#N/A</v>
      </c>
      <c r="AF6" t="e">
        <f t="shared" si="5"/>
        <v>#N/A</v>
      </c>
      <c r="AG6" t="e">
        <f t="shared" si="5"/>
        <v>#N/A</v>
      </c>
      <c r="AH6" t="e">
        <f t="shared" si="5"/>
        <v>#N/A</v>
      </c>
      <c r="AI6" t="e">
        <f t="shared" si="5"/>
        <v>#N/A</v>
      </c>
    </row>
    <row r="7" spans="1:35">
      <c r="A7" s="349"/>
      <c r="B7" s="344"/>
      <c r="C7" s="329"/>
      <c r="D7" s="329"/>
      <c r="E7" s="329"/>
      <c r="F7" s="333"/>
      <c r="G7" s="329"/>
      <c r="H7" s="14" t="s">
        <v>30</v>
      </c>
      <c r="I7" s="45"/>
      <c r="J7" s="45"/>
      <c r="K7" s="45"/>
      <c r="L7" s="45"/>
      <c r="M7" s="45"/>
      <c r="N7" s="45"/>
      <c r="O7" s="45"/>
      <c r="P7" s="45"/>
      <c r="Q7" s="45"/>
      <c r="R7" s="45"/>
      <c r="S7" s="45"/>
      <c r="T7" s="45"/>
      <c r="W7" t="s">
        <v>90</v>
      </c>
      <c r="X7" t="e">
        <f t="shared" ref="X7:AI7" si="6">IF(I21&lt;&gt;"",IF($F20="Higher the better",IF(I21&gt;=I20,I21,NA()),IF(I21&lt;=I20,I21,NA())),NA())</f>
        <v>#N/A</v>
      </c>
      <c r="Y7" t="e">
        <f t="shared" si="6"/>
        <v>#N/A</v>
      </c>
      <c r="Z7" t="e">
        <f t="shared" si="6"/>
        <v>#N/A</v>
      </c>
      <c r="AA7" t="e">
        <f t="shared" si="6"/>
        <v>#N/A</v>
      </c>
      <c r="AB7" t="e">
        <f t="shared" si="6"/>
        <v>#N/A</v>
      </c>
      <c r="AC7" t="e">
        <f t="shared" si="6"/>
        <v>#N/A</v>
      </c>
      <c r="AD7" t="e">
        <f t="shared" si="6"/>
        <v>#N/A</v>
      </c>
      <c r="AE7" t="e">
        <f t="shared" si="6"/>
        <v>#N/A</v>
      </c>
      <c r="AF7" t="e">
        <f t="shared" si="6"/>
        <v>#N/A</v>
      </c>
      <c r="AG7" t="e">
        <f t="shared" si="6"/>
        <v>#N/A</v>
      </c>
      <c r="AH7" t="e">
        <f t="shared" si="6"/>
        <v>#N/A</v>
      </c>
      <c r="AI7" t="e">
        <f t="shared" si="6"/>
        <v>#N/A</v>
      </c>
    </row>
    <row r="8" spans="1:35">
      <c r="A8" s="348" t="s">
        <v>633</v>
      </c>
      <c r="B8" s="348"/>
      <c r="C8" s="328"/>
      <c r="D8" s="328"/>
      <c r="E8" s="328"/>
      <c r="F8" s="336"/>
      <c r="G8" s="328"/>
      <c r="H8" s="14" t="s">
        <v>29</v>
      </c>
      <c r="I8" s="44"/>
      <c r="J8" s="44"/>
      <c r="K8" s="44"/>
      <c r="L8" s="44"/>
      <c r="M8" s="44"/>
      <c r="N8" s="44"/>
      <c r="O8" s="44"/>
      <c r="P8" s="44"/>
      <c r="Q8" s="44"/>
      <c r="R8" s="44"/>
      <c r="S8" s="44"/>
      <c r="T8" s="44"/>
      <c r="W8" t="s">
        <v>91</v>
      </c>
      <c r="X8" t="e">
        <f t="shared" ref="X8:AI8" si="7">IF(I21&lt;&gt;"",IF($F20="Higher the better",IF(I21&lt;I20,I21,NA()),IF(I21&gt;I20,I21,NA())),NA())</f>
        <v>#N/A</v>
      </c>
      <c r="Y8" t="e">
        <f t="shared" si="7"/>
        <v>#N/A</v>
      </c>
      <c r="Z8" t="e">
        <f t="shared" si="7"/>
        <v>#N/A</v>
      </c>
      <c r="AA8" t="e">
        <f t="shared" si="7"/>
        <v>#N/A</v>
      </c>
      <c r="AB8" t="e">
        <f t="shared" si="7"/>
        <v>#N/A</v>
      </c>
      <c r="AC8" t="e">
        <f t="shared" si="7"/>
        <v>#N/A</v>
      </c>
      <c r="AD8" t="e">
        <f t="shared" si="7"/>
        <v>#N/A</v>
      </c>
      <c r="AE8" t="e">
        <f t="shared" si="7"/>
        <v>#N/A</v>
      </c>
      <c r="AF8" t="e">
        <f t="shared" si="7"/>
        <v>#N/A</v>
      </c>
      <c r="AG8" t="e">
        <f t="shared" si="7"/>
        <v>#N/A</v>
      </c>
      <c r="AH8" t="e">
        <f t="shared" si="7"/>
        <v>#N/A</v>
      </c>
      <c r="AI8" t="e">
        <f t="shared" si="7"/>
        <v>#N/A</v>
      </c>
    </row>
    <row r="9" spans="1:35">
      <c r="A9" s="349"/>
      <c r="B9" s="344"/>
      <c r="C9" s="329"/>
      <c r="D9" s="329"/>
      <c r="E9" s="329"/>
      <c r="F9" s="333"/>
      <c r="G9" s="329"/>
      <c r="H9" s="14" t="s">
        <v>30</v>
      </c>
      <c r="I9" s="45"/>
      <c r="J9" s="45"/>
      <c r="K9" s="45"/>
      <c r="L9" s="45"/>
      <c r="M9" s="45"/>
      <c r="N9" s="45"/>
      <c r="O9" s="45"/>
      <c r="P9" s="45"/>
      <c r="Q9" s="45"/>
      <c r="R9" s="45"/>
      <c r="S9" s="45"/>
      <c r="T9" s="45"/>
      <c r="W9" t="s">
        <v>90</v>
      </c>
      <c r="X9" t="e">
        <f t="shared" ref="X9:AI9" si="8">IF(I23&lt;&gt;"",IF($F22="Higher the better",IF(I23&gt;=I22,I23,NA()),IF(I23&lt;=I22,I23,NA())),NA())</f>
        <v>#N/A</v>
      </c>
      <c r="Y9" t="e">
        <f t="shared" si="8"/>
        <v>#N/A</v>
      </c>
      <c r="Z9" t="e">
        <f t="shared" si="8"/>
        <v>#N/A</v>
      </c>
      <c r="AA9" t="e">
        <f t="shared" si="8"/>
        <v>#N/A</v>
      </c>
      <c r="AB9" t="e">
        <f t="shared" si="8"/>
        <v>#N/A</v>
      </c>
      <c r="AC9" t="e">
        <f t="shared" si="8"/>
        <v>#N/A</v>
      </c>
      <c r="AD9" t="e">
        <f t="shared" si="8"/>
        <v>#N/A</v>
      </c>
      <c r="AE9" t="e">
        <f t="shared" si="8"/>
        <v>#N/A</v>
      </c>
      <c r="AF9" t="e">
        <f t="shared" si="8"/>
        <v>#N/A</v>
      </c>
      <c r="AG9" t="e">
        <f t="shared" si="8"/>
        <v>#N/A</v>
      </c>
      <c r="AH9" t="e">
        <f t="shared" si="8"/>
        <v>#N/A</v>
      </c>
      <c r="AI9" t="e">
        <f t="shared" si="8"/>
        <v>#N/A</v>
      </c>
    </row>
    <row r="10" spans="1:35">
      <c r="A10" s="348" t="s">
        <v>844</v>
      </c>
      <c r="B10" s="348"/>
      <c r="C10" s="328"/>
      <c r="D10" s="328"/>
      <c r="E10" s="328"/>
      <c r="F10" s="336"/>
      <c r="G10" s="328"/>
      <c r="H10" s="14" t="s">
        <v>29</v>
      </c>
      <c r="I10" s="44"/>
      <c r="J10" s="44"/>
      <c r="K10" s="44"/>
      <c r="L10" s="44"/>
      <c r="M10" s="44"/>
      <c r="N10" s="44"/>
      <c r="O10" s="44"/>
      <c r="P10" s="44"/>
      <c r="Q10" s="44"/>
      <c r="R10" s="44"/>
      <c r="S10" s="44"/>
      <c r="T10" s="44"/>
      <c r="W10" t="s">
        <v>91</v>
      </c>
      <c r="X10" t="e">
        <f t="shared" ref="X10:AI10" si="9">IF(I23&lt;&gt;"",IF($F22="Higher the better",IF(I23&lt;I22,I23,NA()),IF(I23&gt;I22,I23,NA())),NA())</f>
        <v>#N/A</v>
      </c>
      <c r="Y10" t="e">
        <f t="shared" si="9"/>
        <v>#N/A</v>
      </c>
      <c r="Z10" t="e">
        <f t="shared" si="9"/>
        <v>#N/A</v>
      </c>
      <c r="AA10" t="e">
        <f t="shared" si="9"/>
        <v>#N/A</v>
      </c>
      <c r="AB10" t="e">
        <f t="shared" si="9"/>
        <v>#N/A</v>
      </c>
      <c r="AC10" t="e">
        <f t="shared" si="9"/>
        <v>#N/A</v>
      </c>
      <c r="AD10" t="e">
        <f t="shared" si="9"/>
        <v>#N/A</v>
      </c>
      <c r="AE10" t="e">
        <f t="shared" si="9"/>
        <v>#N/A</v>
      </c>
      <c r="AF10" t="e">
        <f t="shared" si="9"/>
        <v>#N/A</v>
      </c>
      <c r="AG10" t="e">
        <f t="shared" si="9"/>
        <v>#N/A</v>
      </c>
      <c r="AH10" t="e">
        <f t="shared" si="9"/>
        <v>#N/A</v>
      </c>
      <c r="AI10" t="e">
        <f t="shared" si="9"/>
        <v>#N/A</v>
      </c>
    </row>
    <row r="11" spans="1:35">
      <c r="A11" s="349"/>
      <c r="B11" s="344"/>
      <c r="C11" s="329"/>
      <c r="D11" s="329"/>
      <c r="E11" s="329"/>
      <c r="F11" s="333"/>
      <c r="G11" s="329"/>
      <c r="H11" s="14" t="s">
        <v>30</v>
      </c>
      <c r="I11" s="45"/>
      <c r="J11" s="45"/>
      <c r="K11" s="45"/>
      <c r="L11" s="45"/>
      <c r="M11" s="45"/>
      <c r="N11" s="45"/>
      <c r="O11" s="45"/>
      <c r="P11" s="45"/>
      <c r="Q11" s="45"/>
      <c r="R11" s="45"/>
      <c r="S11" s="45"/>
      <c r="T11" s="45"/>
      <c r="W11" t="s">
        <v>90</v>
      </c>
      <c r="X11" t="e">
        <f t="shared" ref="X11:AI11" si="10">IF(I25&lt;&gt;"",IF($F24="Higher the better",IF(I25&gt;=I24,I25,NA()),IF(I25&lt;=I24,I25,NA())),NA())</f>
        <v>#N/A</v>
      </c>
      <c r="Y11" t="e">
        <f t="shared" si="10"/>
        <v>#N/A</v>
      </c>
      <c r="Z11" t="e">
        <f t="shared" si="10"/>
        <v>#N/A</v>
      </c>
      <c r="AA11" t="e">
        <f t="shared" si="10"/>
        <v>#N/A</v>
      </c>
      <c r="AB11" t="e">
        <f t="shared" si="10"/>
        <v>#N/A</v>
      </c>
      <c r="AC11" t="e">
        <f t="shared" si="10"/>
        <v>#N/A</v>
      </c>
      <c r="AD11" t="e">
        <f t="shared" si="10"/>
        <v>#N/A</v>
      </c>
      <c r="AE11" t="e">
        <f t="shared" si="10"/>
        <v>#N/A</v>
      </c>
      <c r="AF11" t="e">
        <f t="shared" si="10"/>
        <v>#N/A</v>
      </c>
      <c r="AG11" t="e">
        <f t="shared" si="10"/>
        <v>#N/A</v>
      </c>
      <c r="AH11" t="e">
        <f t="shared" si="10"/>
        <v>#N/A</v>
      </c>
      <c r="AI11" t="e">
        <f t="shared" si="10"/>
        <v>#N/A</v>
      </c>
    </row>
    <row r="12" spans="1:35" ht="18.600000000000001">
      <c r="A12" s="31" t="s">
        <v>112</v>
      </c>
      <c r="G12" s="38"/>
      <c r="I12" s="43"/>
      <c r="J12" s="43"/>
      <c r="K12" s="43"/>
      <c r="L12" s="43"/>
      <c r="M12" s="43"/>
      <c r="N12" s="43"/>
      <c r="O12" s="43"/>
      <c r="P12" s="43"/>
      <c r="Q12" s="43"/>
      <c r="R12" s="43"/>
      <c r="S12" s="43"/>
      <c r="T12" s="43"/>
      <c r="W12" t="s">
        <v>91</v>
      </c>
      <c r="X12" t="e">
        <f t="shared" ref="X12:AI12" si="11">IF(I25&lt;&gt;"",IF($F24="Higher the better",IF(I25&lt;I24,I25,NA()),IF(I25&gt;I24,I25,NA())),NA())</f>
        <v>#N/A</v>
      </c>
      <c r="Y12" t="e">
        <f t="shared" si="11"/>
        <v>#N/A</v>
      </c>
      <c r="Z12" t="e">
        <f t="shared" si="11"/>
        <v>#N/A</v>
      </c>
      <c r="AA12" t="e">
        <f t="shared" si="11"/>
        <v>#N/A</v>
      </c>
      <c r="AB12" t="e">
        <f t="shared" si="11"/>
        <v>#N/A</v>
      </c>
      <c r="AC12" t="e">
        <f t="shared" si="11"/>
        <v>#N/A</v>
      </c>
      <c r="AD12" t="e">
        <f t="shared" si="11"/>
        <v>#N/A</v>
      </c>
      <c r="AE12" t="e">
        <f t="shared" si="11"/>
        <v>#N/A</v>
      </c>
      <c r="AF12" t="e">
        <f t="shared" si="11"/>
        <v>#N/A</v>
      </c>
      <c r="AG12" t="e">
        <f t="shared" si="11"/>
        <v>#N/A</v>
      </c>
      <c r="AH12" t="e">
        <f t="shared" si="11"/>
        <v>#N/A</v>
      </c>
      <c r="AI12" t="e">
        <f t="shared" si="11"/>
        <v>#N/A</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3.5" customHeight="1">
      <c r="A14" s="348"/>
      <c r="B14" s="343"/>
      <c r="C14" s="328"/>
      <c r="D14" s="336"/>
      <c r="E14" s="328"/>
      <c r="F14" s="336"/>
      <c r="G14" s="328"/>
      <c r="H14" s="14" t="s">
        <v>29</v>
      </c>
      <c r="I14" s="44"/>
      <c r="J14" s="44"/>
      <c r="K14" s="44"/>
      <c r="L14" s="44"/>
      <c r="M14" s="44"/>
      <c r="N14" s="44"/>
      <c r="O14" s="44"/>
      <c r="P14" s="44"/>
      <c r="Q14" s="44"/>
      <c r="R14" s="44"/>
      <c r="S14" s="44"/>
      <c r="T14" s="44"/>
    </row>
    <row r="15" spans="1:35" ht="14.85" customHeight="1">
      <c r="A15" s="344"/>
      <c r="B15" s="344"/>
      <c r="C15" s="329"/>
      <c r="D15" s="329"/>
      <c r="E15" s="329"/>
      <c r="F15" s="333"/>
      <c r="G15" s="329"/>
      <c r="H15" s="14" t="s">
        <v>30</v>
      </c>
      <c r="I15" s="45"/>
      <c r="J15" s="45"/>
      <c r="K15" s="45"/>
      <c r="L15" s="45"/>
      <c r="M15" s="45"/>
      <c r="N15" s="45"/>
      <c r="O15" s="45"/>
      <c r="P15" s="45"/>
      <c r="Q15" s="45"/>
      <c r="R15" s="45"/>
      <c r="S15" s="45"/>
      <c r="T15" s="45"/>
    </row>
    <row r="16" spans="1:35">
      <c r="A16" s="348"/>
      <c r="B16" s="354"/>
      <c r="C16" s="328"/>
      <c r="D16" s="336"/>
      <c r="E16" s="328"/>
      <c r="F16" s="336"/>
      <c r="G16" s="328"/>
      <c r="H16" s="14" t="s">
        <v>29</v>
      </c>
      <c r="I16" s="44"/>
      <c r="J16" s="44"/>
      <c r="K16" s="44"/>
      <c r="L16" s="44"/>
      <c r="M16" s="44"/>
      <c r="N16" s="44"/>
      <c r="O16" s="44"/>
      <c r="P16" s="44"/>
      <c r="Q16" s="44"/>
      <c r="R16" s="44"/>
      <c r="S16" s="44"/>
      <c r="T16" s="44"/>
    </row>
    <row r="17" spans="1:20">
      <c r="A17" s="344"/>
      <c r="B17" s="344"/>
      <c r="C17" s="329"/>
      <c r="D17" s="329"/>
      <c r="E17" s="329"/>
      <c r="F17" s="333"/>
      <c r="G17" s="329"/>
      <c r="H17" s="14" t="s">
        <v>30</v>
      </c>
      <c r="I17" s="45"/>
      <c r="J17" s="45"/>
      <c r="K17" s="45"/>
      <c r="L17" s="45"/>
      <c r="M17" s="45"/>
      <c r="N17" s="45"/>
      <c r="O17" s="45"/>
      <c r="P17" s="45"/>
      <c r="Q17" s="45"/>
      <c r="R17" s="45"/>
      <c r="S17" s="45"/>
      <c r="T17" s="45"/>
    </row>
    <row r="18" spans="1:20">
      <c r="A18" s="354"/>
      <c r="B18" s="354"/>
      <c r="C18" s="328"/>
      <c r="D18" s="336"/>
      <c r="E18" s="328"/>
      <c r="F18" s="336"/>
      <c r="G18" s="328"/>
      <c r="H18" s="14" t="s">
        <v>29</v>
      </c>
      <c r="I18" s="44"/>
      <c r="J18" s="44"/>
      <c r="K18" s="44"/>
      <c r="L18" s="44"/>
      <c r="M18" s="44"/>
      <c r="N18" s="44"/>
      <c r="O18" s="44"/>
      <c r="P18" s="44"/>
      <c r="Q18" s="44"/>
      <c r="R18" s="44"/>
      <c r="S18" s="44"/>
      <c r="T18" s="44"/>
    </row>
    <row r="19" spans="1:20">
      <c r="A19" s="344"/>
      <c r="B19" s="344"/>
      <c r="C19" s="329"/>
      <c r="D19" s="329"/>
      <c r="E19" s="329"/>
      <c r="F19" s="333"/>
      <c r="G19" s="329"/>
      <c r="H19" s="14" t="s">
        <v>30</v>
      </c>
      <c r="I19" s="45"/>
      <c r="J19" s="45"/>
      <c r="K19" s="45"/>
      <c r="L19" s="45"/>
      <c r="M19" s="45"/>
      <c r="N19" s="45"/>
      <c r="O19" s="45"/>
      <c r="P19" s="45"/>
      <c r="Q19" s="45"/>
      <c r="R19" s="45"/>
      <c r="S19" s="45"/>
      <c r="T19" s="45"/>
    </row>
    <row r="20" spans="1:20">
      <c r="A20" s="354"/>
      <c r="B20" s="354"/>
      <c r="C20" s="328"/>
      <c r="D20" s="336"/>
      <c r="E20" s="328"/>
      <c r="F20" s="336"/>
      <c r="G20" s="328"/>
      <c r="H20" s="14" t="s">
        <v>29</v>
      </c>
      <c r="I20" s="44"/>
      <c r="J20" s="44"/>
      <c r="K20" s="44"/>
      <c r="L20" s="44"/>
      <c r="M20" s="44"/>
      <c r="N20" s="44"/>
      <c r="O20" s="44"/>
      <c r="P20" s="44"/>
      <c r="Q20" s="44"/>
      <c r="R20" s="44"/>
      <c r="S20" s="44"/>
      <c r="T20" s="44"/>
    </row>
    <row r="21" spans="1:20">
      <c r="A21" s="344"/>
      <c r="B21" s="344"/>
      <c r="C21" s="329"/>
      <c r="D21" s="329"/>
      <c r="E21" s="329"/>
      <c r="F21" s="333"/>
      <c r="G21" s="329"/>
      <c r="H21" s="14" t="s">
        <v>30</v>
      </c>
      <c r="I21" s="45"/>
      <c r="J21" s="45"/>
      <c r="K21" s="45"/>
      <c r="L21" s="45"/>
      <c r="M21" s="45"/>
      <c r="N21" s="45"/>
      <c r="O21" s="45"/>
      <c r="P21" s="45"/>
      <c r="Q21" s="45"/>
      <c r="R21" s="45"/>
      <c r="S21" s="45"/>
      <c r="T21" s="45"/>
    </row>
    <row r="22" spans="1:20">
      <c r="A22" s="348"/>
      <c r="B22" s="354"/>
      <c r="C22" s="328"/>
      <c r="D22" s="336"/>
      <c r="E22" s="328"/>
      <c r="F22" s="336"/>
      <c r="G22" s="328"/>
      <c r="H22" s="14" t="s">
        <v>29</v>
      </c>
      <c r="I22" s="44"/>
      <c r="J22" s="44"/>
      <c r="K22" s="44"/>
      <c r="L22" s="44"/>
      <c r="M22" s="44"/>
      <c r="N22" s="44"/>
      <c r="O22" s="44"/>
      <c r="P22" s="44"/>
      <c r="Q22" s="44"/>
      <c r="R22" s="44"/>
      <c r="S22" s="44"/>
      <c r="T22" s="44"/>
    </row>
    <row r="23" spans="1:20" ht="15.6" customHeight="1">
      <c r="A23" s="344"/>
      <c r="B23" s="344"/>
      <c r="C23" s="329"/>
      <c r="D23" s="329"/>
      <c r="E23" s="329"/>
      <c r="F23" s="333"/>
      <c r="G23" s="329"/>
      <c r="H23" s="14" t="s">
        <v>30</v>
      </c>
      <c r="I23" s="45"/>
      <c r="J23" s="45"/>
      <c r="K23" s="45"/>
      <c r="L23" s="45"/>
      <c r="M23" s="45"/>
      <c r="N23" s="45"/>
      <c r="O23" s="45"/>
      <c r="P23" s="45"/>
      <c r="Q23" s="45"/>
      <c r="R23" s="45"/>
      <c r="S23" s="45"/>
      <c r="T23" s="45"/>
    </row>
    <row r="24" spans="1:20">
      <c r="A24" s="348"/>
      <c r="B24" s="348"/>
      <c r="C24" s="328"/>
      <c r="D24" s="336"/>
      <c r="E24" s="328"/>
      <c r="F24" s="336"/>
      <c r="G24" s="328"/>
      <c r="H24" s="14" t="s">
        <v>29</v>
      </c>
      <c r="I24" s="44"/>
      <c r="J24" s="44"/>
      <c r="K24" s="44"/>
      <c r="L24" s="44"/>
      <c r="M24" s="44"/>
      <c r="N24" s="44"/>
      <c r="O24" s="44"/>
      <c r="P24" s="44"/>
      <c r="Q24" s="44"/>
      <c r="R24" s="44"/>
      <c r="S24" s="44"/>
      <c r="T24" s="44"/>
    </row>
    <row r="25" spans="1:20" ht="13.5" customHeight="1">
      <c r="A25" s="344"/>
      <c r="B25" s="344"/>
      <c r="C25" s="329"/>
      <c r="D25" s="329"/>
      <c r="E25" s="329"/>
      <c r="F25" s="333"/>
      <c r="G25" s="329"/>
      <c r="H25" s="14" t="s">
        <v>30</v>
      </c>
      <c r="I25" s="45"/>
      <c r="J25" s="45"/>
      <c r="K25" s="45"/>
      <c r="L25" s="45"/>
      <c r="M25" s="45"/>
      <c r="N25" s="45"/>
      <c r="O25" s="45"/>
      <c r="P25" s="45"/>
      <c r="Q25" s="45"/>
      <c r="R25" s="45"/>
      <c r="S25" s="45"/>
      <c r="T25" s="45"/>
    </row>
    <row r="26" spans="1:20" ht="15" customHeight="1">
      <c r="E26" s="32" t="s">
        <v>86</v>
      </c>
      <c r="H26" s="33" t="str">
        <f>IF(OR($F15="Lower the better",$F15="Lower the Better"),
    IF(I15&gt;I14,$A14,""),
    IF(OR($F15="Higher the better",$F15="Higher the Better"),
       IF(I15&lt;I14,$A14,""),
       ""
    )
)</f>
        <v/>
      </c>
    </row>
    <row r="27" spans="1:20" ht="21">
      <c r="A27" s="10" t="s">
        <v>217</v>
      </c>
      <c r="B27"/>
    </row>
    <row r="28" spans="1:20">
      <c r="A28" s="28"/>
      <c r="B28"/>
    </row>
    <row r="29" spans="1:20">
      <c r="A29" s="28"/>
      <c r="B29"/>
    </row>
    <row r="30" spans="1:20">
      <c r="A30" s="28"/>
      <c r="B30"/>
    </row>
    <row r="31" spans="1:20">
      <c r="A31" s="28"/>
      <c r="B31"/>
    </row>
    <row r="32" spans="1:20">
      <c r="A32" s="28"/>
      <c r="B32"/>
    </row>
    <row r="33" spans="1:6">
      <c r="A33" s="28"/>
      <c r="B33"/>
    </row>
    <row r="34" spans="1:6">
      <c r="A34" s="28"/>
      <c r="B34"/>
    </row>
    <row r="35" spans="1:6">
      <c r="A35" s="28"/>
      <c r="B35"/>
    </row>
    <row r="36" spans="1:6">
      <c r="A36" s="28"/>
      <c r="B36"/>
    </row>
    <row r="37" spans="1:6">
      <c r="A37" s="28"/>
      <c r="B37"/>
    </row>
    <row r="38" spans="1:6">
      <c r="A38" s="28"/>
      <c r="B38"/>
    </row>
    <row r="39" spans="1:6">
      <c r="A39" s="28"/>
      <c r="B39"/>
    </row>
    <row r="40" spans="1:6">
      <c r="A40" s="28"/>
      <c r="B40"/>
    </row>
    <row r="41" spans="1:6">
      <c r="A41" s="28"/>
      <c r="B41"/>
    </row>
    <row r="42" spans="1:6">
      <c r="A42" s="28"/>
      <c r="B42"/>
    </row>
    <row r="43" spans="1:6">
      <c r="A43" s="28"/>
      <c r="B43"/>
    </row>
    <row r="44" spans="1:6" ht="21">
      <c r="A44" s="356" t="s">
        <v>123</v>
      </c>
      <c r="B44" s="356"/>
      <c r="C44" s="356"/>
      <c r="D44" s="356"/>
      <c r="E44" s="356"/>
    </row>
    <row r="45" spans="1:6">
      <c r="A45" s="28"/>
      <c r="B45"/>
    </row>
    <row r="46" spans="1:6" ht="21">
      <c r="A46" s="347" t="s">
        <v>124</v>
      </c>
      <c r="B46" s="347"/>
    </row>
    <row r="47" spans="1:6" ht="20.100000000000001" customHeight="1">
      <c r="A47" s="357" t="s">
        <v>125</v>
      </c>
      <c r="B47" s="359" t="s">
        <v>126</v>
      </c>
      <c r="C47" s="359"/>
      <c r="D47" s="359"/>
      <c r="E47" s="359"/>
      <c r="F47" s="359"/>
    </row>
    <row r="48" spans="1:6" ht="15" customHeight="1">
      <c r="A48" s="358"/>
      <c r="B48" s="25" t="s">
        <v>127</v>
      </c>
      <c r="C48" s="25" t="s">
        <v>128</v>
      </c>
      <c r="D48" s="25" t="s">
        <v>129</v>
      </c>
      <c r="E48" s="25" t="s">
        <v>130</v>
      </c>
      <c r="F48" s="25" t="s">
        <v>131</v>
      </c>
    </row>
    <row r="49" spans="1:6" ht="19.350000000000001" customHeight="1">
      <c r="A49" s="40"/>
      <c r="B49" s="41"/>
      <c r="C49" s="41"/>
      <c r="D49" s="41"/>
      <c r="E49" s="41"/>
      <c r="F49" s="41"/>
    </row>
    <row r="50" spans="1:6" ht="19.350000000000001" customHeight="1">
      <c r="A50" s="27" t="s">
        <v>135</v>
      </c>
      <c r="B50" s="42"/>
      <c r="C50" s="42"/>
      <c r="D50" s="42"/>
      <c r="E50" s="42"/>
      <c r="F50" s="42"/>
    </row>
    <row r="51" spans="1:6" ht="19.350000000000001" customHeight="1">
      <c r="A51" s="25" t="s">
        <v>136</v>
      </c>
      <c r="B51" s="25" t="s">
        <v>127</v>
      </c>
      <c r="C51" s="25" t="s">
        <v>128</v>
      </c>
      <c r="D51" s="25" t="s">
        <v>129</v>
      </c>
      <c r="E51" s="25" t="s">
        <v>130</v>
      </c>
      <c r="F51" s="25" t="s">
        <v>131</v>
      </c>
    </row>
    <row r="52" spans="1:6" ht="19.350000000000001" customHeight="1">
      <c r="A52" s="27"/>
      <c r="B52" s="41"/>
      <c r="C52" s="41"/>
      <c r="D52" s="41"/>
      <c r="E52" s="41"/>
      <c r="F52" s="41"/>
    </row>
    <row r="53" spans="1:6" ht="19.350000000000001" customHeight="1">
      <c r="A53" s="27" t="s">
        <v>135</v>
      </c>
      <c r="B53" s="42"/>
      <c r="C53" s="42"/>
      <c r="D53" s="42"/>
      <c r="E53" s="42"/>
      <c r="F53" s="42"/>
    </row>
    <row r="54" spans="1:6" ht="19.350000000000001" customHeight="1">
      <c r="A54" s="25" t="s">
        <v>136</v>
      </c>
      <c r="B54" s="25" t="s">
        <v>127</v>
      </c>
      <c r="C54" s="25" t="s">
        <v>128</v>
      </c>
      <c r="D54" s="25" t="s">
        <v>129</v>
      </c>
      <c r="E54" s="25" t="s">
        <v>130</v>
      </c>
      <c r="F54" s="25" t="s">
        <v>131</v>
      </c>
    </row>
    <row r="55" spans="1:6" ht="19.350000000000001" customHeight="1">
      <c r="A55" s="27"/>
      <c r="B55" s="41"/>
      <c r="C55" s="41"/>
      <c r="D55" s="41"/>
      <c r="E55" s="41"/>
      <c r="F55" s="41"/>
    </row>
    <row r="56" spans="1:6" ht="19.350000000000001" customHeight="1">
      <c r="A56" s="27" t="s">
        <v>135</v>
      </c>
      <c r="B56" s="42"/>
      <c r="C56" s="42"/>
      <c r="D56" s="42"/>
      <c r="E56" s="42"/>
      <c r="F56" s="42"/>
    </row>
    <row r="57" spans="1:6" ht="19.350000000000001" customHeight="1">
      <c r="A57" s="25" t="s">
        <v>136</v>
      </c>
      <c r="B57" s="25" t="s">
        <v>127</v>
      </c>
      <c r="C57" s="25" t="s">
        <v>128</v>
      </c>
      <c r="D57" s="25" t="s">
        <v>129</v>
      </c>
      <c r="E57" s="25" t="s">
        <v>130</v>
      </c>
      <c r="F57" s="25" t="s">
        <v>131</v>
      </c>
    </row>
    <row r="58" spans="1:6" ht="19.350000000000001" customHeight="1">
      <c r="A58" s="27"/>
      <c r="B58" s="41"/>
      <c r="C58" s="41"/>
      <c r="D58" s="41"/>
      <c r="E58" s="41"/>
      <c r="F58" s="41"/>
    </row>
    <row r="59" spans="1:6" ht="19.350000000000001" customHeight="1">
      <c r="A59" s="27" t="s">
        <v>135</v>
      </c>
      <c r="B59" s="42"/>
      <c r="C59" s="42"/>
      <c r="D59" s="42"/>
      <c r="E59" s="42"/>
      <c r="F59" s="42"/>
    </row>
    <row r="60" spans="1:6" ht="19.350000000000001" customHeight="1">
      <c r="A60" s="25" t="s">
        <v>136</v>
      </c>
      <c r="B60" s="25" t="s">
        <v>127</v>
      </c>
      <c r="C60" s="25" t="s">
        <v>128</v>
      </c>
      <c r="D60" s="25" t="s">
        <v>129</v>
      </c>
      <c r="E60" s="25" t="s">
        <v>130</v>
      </c>
      <c r="F60" s="25" t="s">
        <v>131</v>
      </c>
    </row>
    <row r="61" spans="1:6" ht="19.350000000000001" customHeight="1">
      <c r="A61" s="27"/>
      <c r="B61" s="41"/>
      <c r="C61" s="41"/>
      <c r="D61" s="41"/>
      <c r="E61" s="41"/>
      <c r="F61" s="41"/>
    </row>
    <row r="62" spans="1:6" ht="19.350000000000001" customHeight="1">
      <c r="A62" s="27" t="s">
        <v>135</v>
      </c>
      <c r="B62" s="42"/>
      <c r="C62" s="42"/>
      <c r="D62" s="42"/>
      <c r="E62" s="42"/>
      <c r="F62" s="42"/>
    </row>
    <row r="63" spans="1:6" ht="19.350000000000001" customHeight="1">
      <c r="A63" s="25" t="s">
        <v>136</v>
      </c>
      <c r="B63" s="25" t="s">
        <v>127</v>
      </c>
      <c r="C63" s="25" t="s">
        <v>128</v>
      </c>
      <c r="D63" s="25" t="s">
        <v>129</v>
      </c>
      <c r="E63" s="25" t="s">
        <v>130</v>
      </c>
      <c r="F63" s="25" t="s">
        <v>131</v>
      </c>
    </row>
    <row r="64" spans="1:6" ht="19.350000000000001" customHeight="1">
      <c r="A64" s="27"/>
      <c r="B64" s="41"/>
      <c r="C64" s="41"/>
      <c r="D64" s="41"/>
      <c r="E64" s="41"/>
      <c r="F64" s="41"/>
    </row>
    <row r="65" spans="1:6" ht="19.350000000000001" customHeight="1">
      <c r="A65" s="27" t="s">
        <v>135</v>
      </c>
      <c r="B65" s="42"/>
      <c r="C65" s="42"/>
      <c r="D65" s="42"/>
      <c r="E65" s="42"/>
      <c r="F65" s="42"/>
    </row>
    <row r="66" spans="1:6" ht="21">
      <c r="A66" s="10" t="s">
        <v>144</v>
      </c>
      <c r="B66"/>
    </row>
    <row r="67" spans="1:6">
      <c r="A67" s="28"/>
      <c r="B67"/>
    </row>
    <row r="68" spans="1:6">
      <c r="A68" s="28"/>
      <c r="B68"/>
    </row>
    <row r="69" spans="1:6">
      <c r="A69" s="28"/>
      <c r="B69"/>
    </row>
    <row r="70" spans="1:6">
      <c r="A70" s="28"/>
      <c r="B70"/>
    </row>
    <row r="71" spans="1:6">
      <c r="A71" s="28"/>
      <c r="B71"/>
    </row>
    <row r="72" spans="1:6">
      <c r="A72" s="28"/>
      <c r="B72"/>
    </row>
    <row r="73" spans="1:6">
      <c r="A73" s="28"/>
      <c r="B73"/>
    </row>
    <row r="74" spans="1:6">
      <c r="A74" s="28"/>
      <c r="B74"/>
    </row>
    <row r="75" spans="1:6">
      <c r="A75" s="28"/>
      <c r="B75"/>
    </row>
    <row r="76" spans="1:6">
      <c r="A76" s="28"/>
      <c r="B76"/>
    </row>
    <row r="77" spans="1:6">
      <c r="A77" s="28"/>
      <c r="B77"/>
    </row>
    <row r="78" spans="1:6">
      <c r="A78" s="28"/>
      <c r="B78"/>
    </row>
    <row r="79" spans="1:6">
      <c r="A79" s="28"/>
      <c r="B79"/>
    </row>
    <row r="80" spans="1:6">
      <c r="A80" s="28"/>
      <c r="B80"/>
    </row>
    <row r="81" spans="1:15" ht="15" thickBot="1">
      <c r="A81" s="28"/>
      <c r="B81"/>
    </row>
    <row r="82" spans="1:15" ht="18.95" thickBot="1">
      <c r="A82" s="360" t="s">
        <v>145</v>
      </c>
      <c r="B82" s="361"/>
      <c r="C82" s="361"/>
      <c r="D82" s="361"/>
      <c r="E82" s="361"/>
      <c r="F82" s="362"/>
      <c r="H82" s="364" t="s">
        <v>146</v>
      </c>
      <c r="I82" s="365"/>
      <c r="J82" s="365"/>
      <c r="K82" s="365"/>
      <c r="L82" s="365"/>
      <c r="M82" s="365"/>
      <c r="N82" s="365"/>
      <c r="O82" s="366"/>
    </row>
    <row r="83" spans="1:15" s="15" customFormat="1" ht="41.85" customHeight="1">
      <c r="A83" s="16" t="s">
        <v>136</v>
      </c>
      <c r="B83" s="17" t="s">
        <v>147</v>
      </c>
      <c r="C83" s="18" t="s">
        <v>148</v>
      </c>
      <c r="D83" s="19" t="s">
        <v>149</v>
      </c>
      <c r="E83" s="17" t="s">
        <v>150</v>
      </c>
      <c r="F83" s="20" t="s">
        <v>151</v>
      </c>
      <c r="G83"/>
      <c r="H83" s="21" t="s">
        <v>58</v>
      </c>
      <c r="I83" s="22" t="s">
        <v>152</v>
      </c>
      <c r="J83" s="22" t="s">
        <v>153</v>
      </c>
      <c r="K83" s="23" t="s">
        <v>154</v>
      </c>
      <c r="L83" s="23" t="s">
        <v>155</v>
      </c>
      <c r="M83" s="24" t="s">
        <v>156</v>
      </c>
      <c r="N83" s="23" t="s">
        <v>157</v>
      </c>
      <c r="O83" s="36" t="s">
        <v>158</v>
      </c>
    </row>
    <row r="84" spans="1:15" ht="16.5" customHeight="1">
      <c r="A84" s="330" t="s">
        <v>334</v>
      </c>
      <c r="B84" s="336"/>
      <c r="C84" s="336"/>
      <c r="D84" s="336"/>
      <c r="E84" s="337"/>
      <c r="F84" s="339">
        <v>1</v>
      </c>
      <c r="H84" s="330" t="s">
        <v>783</v>
      </c>
      <c r="I84" s="367"/>
      <c r="J84" s="367"/>
      <c r="K84" s="367"/>
      <c r="L84" s="367"/>
      <c r="M84" s="370" t="s">
        <v>338</v>
      </c>
      <c r="N84" s="367"/>
      <c r="O84" s="345"/>
    </row>
    <row r="85" spans="1:15" ht="18" customHeight="1">
      <c r="A85" s="331"/>
      <c r="B85" s="333"/>
      <c r="C85" s="333"/>
      <c r="D85" s="333"/>
      <c r="E85" s="338"/>
      <c r="F85" s="340"/>
      <c r="H85" s="331"/>
      <c r="I85" s="368"/>
      <c r="J85" s="368"/>
      <c r="K85" s="368"/>
      <c r="L85" s="368"/>
      <c r="M85" s="371"/>
      <c r="N85" s="368"/>
      <c r="O85" s="346"/>
    </row>
    <row r="86" spans="1:15" ht="17.100000000000001" customHeight="1">
      <c r="A86" s="330"/>
      <c r="B86" s="336"/>
      <c r="C86" s="336"/>
      <c r="D86" s="336"/>
      <c r="E86" s="337"/>
      <c r="F86" s="339">
        <v>1</v>
      </c>
      <c r="H86" s="330"/>
      <c r="I86" s="367"/>
      <c r="J86" s="367"/>
      <c r="K86" s="367"/>
      <c r="L86" s="367"/>
      <c r="M86" s="370" t="s">
        <v>820</v>
      </c>
      <c r="N86" s="367"/>
      <c r="O86" s="345"/>
    </row>
    <row r="87" spans="1:15" ht="17.100000000000001" customHeight="1">
      <c r="A87" s="331"/>
      <c r="B87" s="333"/>
      <c r="C87" s="333"/>
      <c r="D87" s="333"/>
      <c r="E87" s="338"/>
      <c r="F87" s="340"/>
      <c r="H87" s="331"/>
      <c r="I87" s="368"/>
      <c r="J87" s="368"/>
      <c r="K87" s="368"/>
      <c r="L87" s="368"/>
      <c r="M87" s="371"/>
      <c r="N87" s="368"/>
      <c r="O87" s="346"/>
    </row>
    <row r="88" spans="1:15" ht="17.100000000000001" customHeight="1">
      <c r="A88" s="330"/>
      <c r="B88" s="336"/>
      <c r="C88" s="336"/>
      <c r="D88" s="336"/>
      <c r="E88" s="337"/>
      <c r="F88" s="339">
        <v>1</v>
      </c>
      <c r="H88" s="330"/>
      <c r="I88" s="367"/>
      <c r="J88" s="367"/>
      <c r="K88" s="367"/>
      <c r="L88" s="367"/>
      <c r="M88" s="370"/>
      <c r="N88" s="367"/>
      <c r="O88" s="345"/>
    </row>
    <row r="89" spans="1:15" ht="16.5" customHeight="1">
      <c r="A89" s="331"/>
      <c r="B89" s="333"/>
      <c r="C89" s="333"/>
      <c r="D89" s="333"/>
      <c r="E89" s="338"/>
      <c r="F89" s="340"/>
      <c r="H89" s="331"/>
      <c r="I89" s="368"/>
      <c r="J89" s="368"/>
      <c r="K89" s="368"/>
      <c r="L89" s="368"/>
      <c r="M89" s="371"/>
      <c r="N89" s="368"/>
      <c r="O89" s="346"/>
    </row>
    <row r="90" spans="1:15" ht="16.5" customHeight="1">
      <c r="A90" s="330"/>
      <c r="B90" s="336"/>
      <c r="C90" s="336"/>
      <c r="D90" s="336"/>
      <c r="E90" s="337"/>
      <c r="F90" s="339">
        <v>1</v>
      </c>
      <c r="H90" s="330"/>
      <c r="I90" s="367"/>
      <c r="J90" s="367"/>
      <c r="K90" s="367"/>
      <c r="L90" s="367"/>
      <c r="M90" s="370"/>
      <c r="N90" s="367"/>
      <c r="O90" s="345"/>
    </row>
    <row r="91" spans="1:15" ht="16.5" customHeight="1">
      <c r="A91" s="331"/>
      <c r="B91" s="333"/>
      <c r="C91" s="333"/>
      <c r="D91" s="333"/>
      <c r="E91" s="338"/>
      <c r="F91" s="340"/>
      <c r="H91" s="331"/>
      <c r="I91" s="368"/>
      <c r="J91" s="368"/>
      <c r="K91" s="368"/>
      <c r="L91" s="368"/>
      <c r="M91" s="371"/>
      <c r="N91" s="368"/>
      <c r="O91" s="346"/>
    </row>
    <row r="92" spans="1:15" ht="16.5" customHeight="1">
      <c r="A92" s="330"/>
      <c r="B92" s="336"/>
      <c r="C92" s="336"/>
      <c r="D92" s="336"/>
      <c r="E92" s="337"/>
      <c r="F92" s="339">
        <v>1</v>
      </c>
      <c r="H92" s="330"/>
      <c r="I92" s="367"/>
      <c r="J92" s="367"/>
      <c r="K92" s="367"/>
      <c r="L92" s="367"/>
      <c r="M92" s="370"/>
      <c r="N92" s="367"/>
      <c r="O92" s="345"/>
    </row>
    <row r="93" spans="1:15" ht="16.5" customHeight="1">
      <c r="A93" s="331"/>
      <c r="B93" s="333"/>
      <c r="C93" s="333"/>
      <c r="D93" s="333"/>
      <c r="E93" s="338"/>
      <c r="F93" s="340"/>
      <c r="H93" s="331"/>
      <c r="I93" s="368"/>
      <c r="J93" s="368"/>
      <c r="K93" s="368"/>
      <c r="L93" s="368"/>
      <c r="M93" s="371"/>
      <c r="N93" s="368"/>
      <c r="O93" s="346"/>
    </row>
    <row r="94" spans="1:15" ht="16.5" customHeight="1">
      <c r="A94" s="330"/>
      <c r="B94" s="336"/>
      <c r="C94" s="336"/>
      <c r="D94" s="336"/>
      <c r="E94" s="337"/>
      <c r="F94" s="339">
        <v>1</v>
      </c>
      <c r="H94" s="330"/>
      <c r="I94" s="367"/>
      <c r="J94" s="367"/>
      <c r="K94" s="367"/>
      <c r="L94" s="367"/>
      <c r="M94" s="370"/>
      <c r="N94" s="367"/>
      <c r="O94" s="345"/>
    </row>
    <row r="95" spans="1:15" ht="17.100000000000001" customHeight="1" thickBot="1">
      <c r="A95" s="331"/>
      <c r="B95" s="384"/>
      <c r="C95" s="384"/>
      <c r="D95" s="384"/>
      <c r="E95" s="460"/>
      <c r="F95" s="340"/>
      <c r="H95" s="376"/>
      <c r="I95" s="379"/>
      <c r="J95" s="379"/>
      <c r="K95" s="379"/>
      <c r="L95" s="379"/>
      <c r="M95" s="380"/>
      <c r="N95" s="379"/>
      <c r="O95" s="381"/>
    </row>
    <row r="96" spans="1:15">
      <c r="A96" s="34" t="s">
        <v>195</v>
      </c>
      <c r="B96" s="34" t="s">
        <v>196</v>
      </c>
      <c r="C96" s="35" t="s">
        <v>197</v>
      </c>
      <c r="D96" s="35" t="s">
        <v>198</v>
      </c>
      <c r="E96" s="377" t="s">
        <v>199</v>
      </c>
      <c r="F96" s="378"/>
      <c r="G96" s="28"/>
    </row>
    <row r="97" spans="1:8">
      <c r="A97" s="28"/>
      <c r="C97" s="28"/>
      <c r="D97" s="28"/>
      <c r="E97" s="28"/>
      <c r="F97" s="28"/>
      <c r="G97" s="28"/>
    </row>
    <row r="98" spans="1:8">
      <c r="C98" s="28"/>
      <c r="D98" s="28"/>
      <c r="E98" s="28"/>
      <c r="F98" s="28"/>
      <c r="G98" s="28"/>
      <c r="H98" s="28"/>
    </row>
  </sheetData>
  <mergeCells count="155">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G20:G21"/>
    <mergeCell ref="A22:A23"/>
    <mergeCell ref="B22:B23"/>
    <mergeCell ref="C22:C23"/>
    <mergeCell ref="D22:D23"/>
    <mergeCell ref="E22:E23"/>
    <mergeCell ref="F22:F23"/>
    <mergeCell ref="G22:G23"/>
    <mergeCell ref="A20:A21"/>
    <mergeCell ref="B20:B21"/>
    <mergeCell ref="C20:C21"/>
    <mergeCell ref="D20:D21"/>
    <mergeCell ref="E20:E21"/>
    <mergeCell ref="F20:F21"/>
    <mergeCell ref="G24:G25"/>
    <mergeCell ref="A44:E44"/>
    <mergeCell ref="A46:B46"/>
    <mergeCell ref="A47:A48"/>
    <mergeCell ref="B47:F47"/>
    <mergeCell ref="A82:F82"/>
    <mergeCell ref="A24:A25"/>
    <mergeCell ref="B24:B25"/>
    <mergeCell ref="C24:C25"/>
    <mergeCell ref="D24:D25"/>
    <mergeCell ref="E24:E25"/>
    <mergeCell ref="F24:F25"/>
    <mergeCell ref="H82:O82"/>
    <mergeCell ref="A84:A85"/>
    <mergeCell ref="B84:B85"/>
    <mergeCell ref="C84:C85"/>
    <mergeCell ref="D84:D85"/>
    <mergeCell ref="E84:E85"/>
    <mergeCell ref="F84:F85"/>
    <mergeCell ref="H84:H85"/>
    <mergeCell ref="I84:I85"/>
    <mergeCell ref="J84:J85"/>
    <mergeCell ref="K84:K85"/>
    <mergeCell ref="L84:L85"/>
    <mergeCell ref="M84:M85"/>
    <mergeCell ref="N84:N85"/>
    <mergeCell ref="O84:O85"/>
    <mergeCell ref="A86:A87"/>
    <mergeCell ref="B86:B87"/>
    <mergeCell ref="C86:C87"/>
    <mergeCell ref="D86:D87"/>
    <mergeCell ref="E86:E87"/>
    <mergeCell ref="M86:M87"/>
    <mergeCell ref="N86:N87"/>
    <mergeCell ref="O86:O87"/>
    <mergeCell ref="A88:A89"/>
    <mergeCell ref="B88:B89"/>
    <mergeCell ref="C88:C89"/>
    <mergeCell ref="D88:D89"/>
    <mergeCell ref="E88:E89"/>
    <mergeCell ref="F88:F89"/>
    <mergeCell ref="H88:H89"/>
    <mergeCell ref="F86:F87"/>
    <mergeCell ref="H86:H87"/>
    <mergeCell ref="I86:I87"/>
    <mergeCell ref="J86:J87"/>
    <mergeCell ref="K86:K87"/>
    <mergeCell ref="L86:L87"/>
    <mergeCell ref="O88:O89"/>
    <mergeCell ref="I88:I89"/>
    <mergeCell ref="J88:J89"/>
    <mergeCell ref="A90:A91"/>
    <mergeCell ref="B90:B91"/>
    <mergeCell ref="C90:C91"/>
    <mergeCell ref="D90:D91"/>
    <mergeCell ref="E90:E91"/>
    <mergeCell ref="F90:F91"/>
    <mergeCell ref="H90:H91"/>
    <mergeCell ref="I90:I91"/>
    <mergeCell ref="J90:J91"/>
    <mergeCell ref="K88:K89"/>
    <mergeCell ref="L88:L89"/>
    <mergeCell ref="M88:M89"/>
    <mergeCell ref="N88:N89"/>
    <mergeCell ref="K90:K91"/>
    <mergeCell ref="L90:L91"/>
    <mergeCell ref="M90:M91"/>
    <mergeCell ref="N90:N91"/>
    <mergeCell ref="O90:O91"/>
    <mergeCell ref="A92:A93"/>
    <mergeCell ref="B92:B93"/>
    <mergeCell ref="C92:C93"/>
    <mergeCell ref="D92:D93"/>
    <mergeCell ref="E92:E93"/>
    <mergeCell ref="A94:A95"/>
    <mergeCell ref="B94:B95"/>
    <mergeCell ref="C94:C95"/>
    <mergeCell ref="D94:D95"/>
    <mergeCell ref="E94:E95"/>
    <mergeCell ref="F94:F95"/>
    <mergeCell ref="H94:H95"/>
    <mergeCell ref="F92:F93"/>
    <mergeCell ref="H92:H93"/>
    <mergeCell ref="O94:O95"/>
    <mergeCell ref="E96:F96"/>
    <mergeCell ref="I94:I95"/>
    <mergeCell ref="J94:J95"/>
    <mergeCell ref="K94:K95"/>
    <mergeCell ref="L94:L95"/>
    <mergeCell ref="M94:M95"/>
    <mergeCell ref="N94:N95"/>
    <mergeCell ref="M92:M93"/>
    <mergeCell ref="N92:N93"/>
    <mergeCell ref="O92:O93"/>
    <mergeCell ref="I92:I93"/>
    <mergeCell ref="J92:J93"/>
    <mergeCell ref="K92:K93"/>
    <mergeCell ref="L92:L93"/>
  </mergeCells>
  <conditionalFormatting sqref="A84:A95">
    <cfRule type="containsBlanks" dxfId="26" priority="6">
      <formula>LEN(TRIM(A84))=0</formula>
    </cfRule>
  </conditionalFormatting>
  <conditionalFormatting sqref="A49:F49 B50:F50 A52:F52 B53:F53 A55:F55 B56:F56 A58:F58 B59:F59 A61:F61 B62:F62 A64:F64 B65:F65">
    <cfRule type="containsBlanks" dxfId="25" priority="5">
      <formula>LEN(TRIM(A49))=0</formula>
    </cfRule>
  </conditionalFormatting>
  <conditionalFormatting sqref="A6:G6 A8:G8 A10:G10">
    <cfRule type="containsBlanks" dxfId="24" priority="9">
      <formula>LEN(TRIM(A6))=0</formula>
    </cfRule>
  </conditionalFormatting>
  <conditionalFormatting sqref="A14:G14 A16:G16 A18:G18 A20:G20 A22:G22 A24:G24">
    <cfRule type="containsBlanks" dxfId="23" priority="20">
      <formula>LEN(TRIM(A14))=0</formula>
    </cfRule>
  </conditionalFormatting>
  <conditionalFormatting sqref="B84:E84 B86:E86 B88:E88 B90:E90 B92:E92 B94:E94">
    <cfRule type="containsBlanks" dxfId="22" priority="15">
      <formula>LEN(TRIM(B84))=0</formula>
    </cfRule>
  </conditionalFormatting>
  <conditionalFormatting sqref="D1">
    <cfRule type="containsBlanks" dxfId="21" priority="1">
      <formula>LEN(TRIM(D1))=0</formula>
    </cfRule>
  </conditionalFormatting>
  <conditionalFormatting sqref="F1">
    <cfRule type="containsBlanks" dxfId="20" priority="23">
      <formula>LEN(TRIM(F1))=0</formula>
    </cfRule>
  </conditionalFormatting>
  <conditionalFormatting sqref="F84 F86 F88 F90 F92 F94">
    <cfRule type="iconSet" priority="21">
      <iconSet iconSet="5Quarters" showValue="0">
        <cfvo type="percent" val="0"/>
        <cfvo type="num" val="2"/>
        <cfvo type="num" val="3"/>
        <cfvo type="num" val="4"/>
        <cfvo type="num" val="5"/>
      </iconSet>
    </cfRule>
    <cfRule type="expression" dxfId="19" priority="22">
      <formula>AND(#REF!&lt;&gt;"",E84&lt;TODAY(),F84&lt;4)</formula>
    </cfRule>
  </conditionalFormatting>
  <conditionalFormatting sqref="H84:H95">
    <cfRule type="containsBlanks" dxfId="18" priority="4">
      <formula>LEN(TRIM(H84))=0</formula>
    </cfRule>
  </conditionalFormatting>
  <conditionalFormatting sqref="I84:O84 I86:O86 I88:O88 I90:O90 I92:O92 I94:O94">
    <cfRule type="containsBlanks" dxfId="17" priority="14">
      <formula>LEN(TRIM(I84))=0</formula>
    </cfRule>
  </conditionalFormatting>
  <conditionalFormatting sqref="I7:T7 I9:T9 I11:T11 I17:T17 I19:T19 I21:T21 I23:T23 I25:T25">
    <cfRule type="expression" dxfId="16" priority="11">
      <formula>AND(OR($F6="Lower the better", $F6="Lower the Better"), I7&lt;=I6)</formula>
    </cfRule>
    <cfRule type="expression" dxfId="15" priority="12">
      <formula>AND(OR($F6="Higher the better", $F6="Higher the Better"), I7&lt;I6)</formula>
    </cfRule>
    <cfRule type="expression" dxfId="14" priority="13" stopIfTrue="1">
      <formula>AND(OR($F6="Higher the better", $F6="Higher the Better"), I7&gt;=I6)</formula>
    </cfRule>
  </conditionalFormatting>
  <conditionalFormatting sqref="I7:T7 I9:T9 I11:T11">
    <cfRule type="containsBlanks" dxfId="13" priority="7">
      <formula>LEN(TRIM(I7))=0</formula>
    </cfRule>
  </conditionalFormatting>
  <conditionalFormatting sqref="I15:T15 I17:T17 I19:T19 I21:T21 I23:T23 I25:T25">
    <cfRule type="containsBlanks" dxfId="12" priority="8">
      <formula>LEN(TRIM(I15))=0</formula>
    </cfRule>
  </conditionalFormatting>
  <conditionalFormatting sqref="I15:T15">
    <cfRule type="expression" dxfId="11" priority="16">
      <formula>AND(OR($F14="Lower the better", $F14="Lower the Better"), I15&gt;I14)</formula>
    </cfRule>
    <cfRule type="expression" dxfId="10" priority="17">
      <formula>AND(OR($F14="Lower the better", $F14="Lower the Better"), I15&lt;=I14)</formula>
    </cfRule>
    <cfRule type="expression" dxfId="9" priority="18">
      <formula>AND(OR($F14="Higher the better", $F14="Higher the Better"), I15&lt;I14)</formula>
    </cfRule>
    <cfRule type="expression" dxfId="8" priority="19" stopIfTrue="1">
      <formula>AND(OR($F14="Higher the better", $F14="Higher the Better"), I15&gt;=I14)</formula>
    </cfRule>
  </conditionalFormatting>
  <conditionalFormatting sqref="I17:T17 I19:T19 I21:T21 I23:T23 I25:T25 I7:T7 I9:T9 I11:T11">
    <cfRule type="expression" dxfId="7" priority="10">
      <formula>AND(OR($F6="Lower the better", $F6="Lower the Better"), I7&gt;I6)</formula>
    </cfRule>
  </conditionalFormatting>
  <conditionalFormatting sqref="M84:M95">
    <cfRule type="containsText" dxfId="6" priority="2" operator="containsText" text="No">
      <formula>NOT(ISERROR(SEARCH("No",M84)))</formula>
    </cfRule>
    <cfRule type="containsText" dxfId="5" priority="3" operator="containsText" text="Yes">
      <formula>NOT(ISERROR(SEARCH("Yes",M84)))</formula>
    </cfRule>
  </conditionalFormatting>
  <dataValidations count="7">
    <dataValidation type="list" allowBlank="1" showInputMessage="1" showErrorMessage="1" sqref="E6:E11 E14:E25" xr:uid="{08582C0B-BC44-4F6B-A042-B77B8FCB66CB}">
      <formula1>"%, Mn, No., "</formula1>
    </dataValidation>
    <dataValidation type="list" allowBlank="1" showInputMessage="1" showErrorMessage="1" sqref="B1:B2" xr:uid="{F6ED971F-EFC3-4A61-B0B0-C0CB6320B2D9}">
      <formula1>"Jan-2026, Feb-2026, Mar-2026, Apr-2026, May-2026, Jun-2026, Jul-2026, Aug-2026, Sep-2026, Oct-2026, Nov-2026, Dec-2026"</formula1>
    </dataValidation>
    <dataValidation type="list" allowBlank="1" showInputMessage="1" showErrorMessage="1" sqref="M84 M86 M88 M90 M92 M94" xr:uid="{DC3BA841-353B-4391-B6F0-F0D6692D6DC8}">
      <formula1>"Yes, No"</formula1>
    </dataValidation>
    <dataValidation type="list" allowBlank="1" showInputMessage="1" showErrorMessage="1" sqref="C14:C25 C6:C11" xr:uid="{2FCBF98B-614A-4FB6-9C4E-9CD2088C8B54}">
      <formula1>"&gt;, &lt;, &gt;=, &lt;=, ="</formula1>
    </dataValidation>
    <dataValidation type="list" allowBlank="1" showInputMessage="1" showErrorMessage="1" sqref="G14:G25 G6:G11" xr:uid="{80051F53-800B-47A8-AF55-C08AC32BF1BE}">
      <formula1>"Monthly, Quarterly, Half yearly"</formula1>
    </dataValidation>
    <dataValidation type="list" allowBlank="1" showInputMessage="1" showErrorMessage="1" sqref="F14:F25 F6:F11" xr:uid="{91C77409-3F79-463B-849C-F712AC76D931}">
      <formula1>"Higher the better, Lower the better"</formula1>
    </dataValidation>
    <dataValidation type="list" allowBlank="1" showInputMessage="1" showErrorMessage="1" sqref="F84:G84 F86:G86 F88:G88 F90:G90 F92:G92 F94:G94" xr:uid="{58AA9C42-525C-4DA5-AF07-CFB1F7CAD4B5}">
      <formula1>"1,2,3,4,5"</formula1>
    </dataValidation>
  </dataValidations>
  <pageMargins left="0.7" right="0.7" top="0.75" bottom="0.75" header="0.3" footer="0.3"/>
  <pageSetup orientation="portrait" r:id="rId1"/>
  <customProperties>
    <customPr name="_pios_id" r:id="rId2"/>
  </customProperties>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82424-7072-4A89-BD41-05D3BE562C6D}">
  <sheetPr codeName="Sheet15"/>
  <dimension ref="B1:M64"/>
  <sheetViews>
    <sheetView workbookViewId="0">
      <selection activeCell="I47" sqref="I47"/>
    </sheetView>
  </sheetViews>
  <sheetFormatPr defaultRowHeight="14.45"/>
  <cols>
    <col min="2" max="2" width="25.42578125" bestFit="1" customWidth="1"/>
    <col min="3" max="3" width="11.5703125" bestFit="1" customWidth="1"/>
    <col min="4" max="4" width="13" bestFit="1" customWidth="1"/>
    <col min="9" max="9" width="13.42578125" bestFit="1" customWidth="1"/>
  </cols>
  <sheetData>
    <row r="1" spans="2:13">
      <c r="B1" t="s">
        <v>0</v>
      </c>
    </row>
    <row r="2" spans="2:13">
      <c r="B2" t="s">
        <v>845</v>
      </c>
    </row>
    <row r="3" spans="2:13">
      <c r="B3" t="s">
        <v>846</v>
      </c>
      <c r="C3" t="s">
        <v>847</v>
      </c>
      <c r="D3" t="s">
        <v>848</v>
      </c>
      <c r="F3" t="s">
        <v>849</v>
      </c>
      <c r="G3" t="s">
        <v>848</v>
      </c>
      <c r="I3" t="s">
        <v>850</v>
      </c>
      <c r="J3" t="s">
        <v>848</v>
      </c>
    </row>
    <row r="4" spans="2:13">
      <c r="C4" t="s">
        <v>851</v>
      </c>
      <c r="D4" t="s">
        <v>848</v>
      </c>
      <c r="F4" t="s">
        <v>852</v>
      </c>
      <c r="G4" t="s">
        <v>848</v>
      </c>
      <c r="I4" t="s">
        <v>853</v>
      </c>
      <c r="J4" t="s">
        <v>848</v>
      </c>
    </row>
    <row r="8" spans="2:13">
      <c r="B8" t="s">
        <v>854</v>
      </c>
    </row>
    <row r="9" spans="2:13" ht="24">
      <c r="B9" s="1" t="s">
        <v>440</v>
      </c>
      <c r="C9" s="1" t="s">
        <v>855</v>
      </c>
      <c r="D9" s="1" t="s">
        <v>856</v>
      </c>
      <c r="E9" s="1" t="s">
        <v>60</v>
      </c>
      <c r="F9" s="1" t="s">
        <v>7</v>
      </c>
      <c r="G9" s="1" t="s">
        <v>9</v>
      </c>
      <c r="H9" s="1" t="s">
        <v>10</v>
      </c>
      <c r="I9" s="1" t="s">
        <v>11</v>
      </c>
      <c r="J9" s="1" t="s">
        <v>12</v>
      </c>
      <c r="K9" s="1" t="s">
        <v>857</v>
      </c>
      <c r="L9" s="1" t="s">
        <v>858</v>
      </c>
      <c r="M9" s="1" t="s">
        <v>15</v>
      </c>
    </row>
    <row r="10" spans="2:13">
      <c r="B10" s="600" t="s">
        <v>859</v>
      </c>
      <c r="C10" s="602"/>
      <c r="D10" s="603" t="s">
        <v>860</v>
      </c>
      <c r="E10" s="603" t="s">
        <v>861</v>
      </c>
      <c r="F10" s="603" t="s">
        <v>98</v>
      </c>
      <c r="G10" s="598"/>
      <c r="H10" s="2" t="s">
        <v>29</v>
      </c>
      <c r="I10" s="4">
        <v>1</v>
      </c>
      <c r="J10" s="4">
        <v>0.3</v>
      </c>
      <c r="K10" s="4">
        <v>0.2</v>
      </c>
      <c r="L10" s="4">
        <v>1</v>
      </c>
      <c r="M10" s="4">
        <v>0.8</v>
      </c>
    </row>
    <row r="11" spans="2:13">
      <c r="B11" s="601"/>
      <c r="C11" s="599"/>
      <c r="D11" s="604"/>
      <c r="E11" s="604"/>
      <c r="F11" s="604"/>
      <c r="G11" s="599"/>
      <c r="H11" s="3" t="s">
        <v>30</v>
      </c>
      <c r="I11" s="5">
        <v>0.12</v>
      </c>
      <c r="J11" s="5">
        <v>0.3</v>
      </c>
      <c r="K11" s="5">
        <v>0.2</v>
      </c>
      <c r="L11" s="5">
        <v>0.8</v>
      </c>
      <c r="M11" s="5">
        <v>0.8</v>
      </c>
    </row>
    <row r="12" spans="2:13">
      <c r="B12" s="605" t="s">
        <v>862</v>
      </c>
      <c r="C12" s="602"/>
      <c r="D12" s="606">
        <v>0.37</v>
      </c>
      <c r="E12" s="606">
        <v>0.44</v>
      </c>
      <c r="F12" s="603" t="s">
        <v>98</v>
      </c>
      <c r="G12" s="598"/>
      <c r="H12" s="3" t="s">
        <v>29</v>
      </c>
      <c r="I12" s="6">
        <f t="shared" ref="I12:M21" ca="1" si="0">RANDBETWEEN(1,100)</f>
        <v>50</v>
      </c>
      <c r="J12" s="6">
        <f t="shared" ca="1" si="0"/>
        <v>71</v>
      </c>
      <c r="K12" s="6">
        <f t="shared" ca="1" si="0"/>
        <v>35</v>
      </c>
      <c r="L12" s="6">
        <f t="shared" ca="1" si="0"/>
        <v>16</v>
      </c>
      <c r="M12" s="6">
        <f t="shared" ca="1" si="0"/>
        <v>96</v>
      </c>
    </row>
    <row r="13" spans="2:13">
      <c r="B13" s="633"/>
      <c r="C13" s="599"/>
      <c r="D13" s="604"/>
      <c r="E13" s="604"/>
      <c r="F13" s="604"/>
      <c r="G13" s="599"/>
      <c r="H13" s="3" t="s">
        <v>30</v>
      </c>
      <c r="I13" s="7">
        <f t="shared" ca="1" si="0"/>
        <v>43</v>
      </c>
      <c r="J13" s="7">
        <f t="shared" ca="1" si="0"/>
        <v>39</v>
      </c>
      <c r="K13" s="7">
        <f t="shared" ca="1" si="0"/>
        <v>59</v>
      </c>
      <c r="L13" s="7">
        <f t="shared" ca="1" si="0"/>
        <v>50</v>
      </c>
      <c r="M13" s="7">
        <f t="shared" ca="1" si="0"/>
        <v>79</v>
      </c>
    </row>
    <row r="14" spans="2:13">
      <c r="B14" s="605" t="s">
        <v>863</v>
      </c>
      <c r="C14" s="602"/>
      <c r="D14" s="606">
        <v>0.31</v>
      </c>
      <c r="E14" s="606">
        <v>0.34</v>
      </c>
      <c r="F14" s="603" t="s">
        <v>98</v>
      </c>
      <c r="G14" s="598"/>
      <c r="H14" s="3" t="s">
        <v>29</v>
      </c>
      <c r="I14" s="6">
        <f t="shared" ca="1" si="0"/>
        <v>39</v>
      </c>
      <c r="J14" s="6">
        <f t="shared" ca="1" si="0"/>
        <v>87</v>
      </c>
      <c r="K14" s="6">
        <f t="shared" ca="1" si="0"/>
        <v>25</v>
      </c>
      <c r="L14" s="6">
        <f t="shared" ca="1" si="0"/>
        <v>10</v>
      </c>
      <c r="M14" s="6">
        <f t="shared" ca="1" si="0"/>
        <v>80</v>
      </c>
    </row>
    <row r="15" spans="2:13">
      <c r="B15" s="633"/>
      <c r="C15" s="599"/>
      <c r="D15" s="604"/>
      <c r="E15" s="604"/>
      <c r="F15" s="604"/>
      <c r="G15" s="599"/>
      <c r="H15" s="3" t="s">
        <v>30</v>
      </c>
      <c r="I15" s="7">
        <f t="shared" ca="1" si="0"/>
        <v>12</v>
      </c>
      <c r="J15" s="7">
        <f t="shared" ca="1" si="0"/>
        <v>29</v>
      </c>
      <c r="K15" s="7">
        <f t="shared" ca="1" si="0"/>
        <v>32</v>
      </c>
      <c r="L15" s="7">
        <f t="shared" ca="1" si="0"/>
        <v>83</v>
      </c>
      <c r="M15" s="7">
        <f t="shared" ca="1" si="0"/>
        <v>24</v>
      </c>
    </row>
    <row r="16" spans="2:13">
      <c r="B16" s="605" t="s">
        <v>864</v>
      </c>
      <c r="C16" s="602"/>
      <c r="D16" s="606">
        <v>0.24</v>
      </c>
      <c r="E16" s="606">
        <v>0.26</v>
      </c>
      <c r="F16" s="603" t="s">
        <v>98</v>
      </c>
      <c r="G16" s="598"/>
      <c r="H16" s="3" t="s">
        <v>29</v>
      </c>
      <c r="I16" s="6">
        <f t="shared" ca="1" si="0"/>
        <v>95</v>
      </c>
      <c r="J16" s="6">
        <f t="shared" ca="1" si="0"/>
        <v>30</v>
      </c>
      <c r="K16" s="6">
        <f t="shared" ca="1" si="0"/>
        <v>34</v>
      </c>
      <c r="L16" s="6">
        <f t="shared" ca="1" si="0"/>
        <v>44</v>
      </c>
      <c r="M16" s="6">
        <f t="shared" ca="1" si="0"/>
        <v>65</v>
      </c>
    </row>
    <row r="17" spans="2:13">
      <c r="B17" s="633"/>
      <c r="C17" s="599"/>
      <c r="D17" s="604"/>
      <c r="E17" s="604"/>
      <c r="F17" s="604"/>
      <c r="G17" s="599"/>
      <c r="H17" s="3" t="s">
        <v>30</v>
      </c>
      <c r="I17" s="7">
        <f t="shared" ca="1" si="0"/>
        <v>64</v>
      </c>
      <c r="J17" s="7">
        <f t="shared" ca="1" si="0"/>
        <v>4</v>
      </c>
      <c r="K17" s="7">
        <f t="shared" ca="1" si="0"/>
        <v>25</v>
      </c>
      <c r="L17" s="7">
        <f t="shared" ca="1" si="0"/>
        <v>37</v>
      </c>
      <c r="M17" s="7">
        <f t="shared" ca="1" si="0"/>
        <v>65</v>
      </c>
    </row>
    <row r="18" spans="2:13">
      <c r="B18" s="605" t="s">
        <v>865</v>
      </c>
      <c r="C18" s="602"/>
      <c r="D18" s="606">
        <v>0.65</v>
      </c>
      <c r="E18" s="606">
        <v>0.7</v>
      </c>
      <c r="F18" s="603" t="s">
        <v>98</v>
      </c>
      <c r="G18" s="598"/>
      <c r="H18" s="3" t="s">
        <v>29</v>
      </c>
      <c r="I18" s="6">
        <f t="shared" ca="1" si="0"/>
        <v>43</v>
      </c>
      <c r="J18" s="6">
        <f t="shared" ca="1" si="0"/>
        <v>99</v>
      </c>
      <c r="K18" s="6">
        <f t="shared" ca="1" si="0"/>
        <v>27</v>
      </c>
      <c r="L18" s="6">
        <f t="shared" ca="1" si="0"/>
        <v>67</v>
      </c>
      <c r="M18" s="6">
        <f t="shared" ca="1" si="0"/>
        <v>69</v>
      </c>
    </row>
    <row r="19" spans="2:13">
      <c r="B19" s="633"/>
      <c r="C19" s="599"/>
      <c r="D19" s="604"/>
      <c r="E19" s="604"/>
      <c r="F19" s="604"/>
      <c r="G19" s="599"/>
      <c r="H19" s="3" t="s">
        <v>30</v>
      </c>
      <c r="I19" s="7">
        <f t="shared" ca="1" si="0"/>
        <v>21</v>
      </c>
      <c r="J19" s="7">
        <f t="shared" ca="1" si="0"/>
        <v>6</v>
      </c>
      <c r="K19" s="7">
        <f t="shared" ca="1" si="0"/>
        <v>8</v>
      </c>
      <c r="L19" s="7">
        <f t="shared" ca="1" si="0"/>
        <v>38</v>
      </c>
      <c r="M19" s="7">
        <f t="shared" ca="1" si="0"/>
        <v>73</v>
      </c>
    </row>
    <row r="20" spans="2:13">
      <c r="B20" s="605" t="s">
        <v>757</v>
      </c>
      <c r="C20" s="602"/>
      <c r="D20" s="606">
        <v>0.53</v>
      </c>
      <c r="E20" s="606">
        <v>0.57999999999999996</v>
      </c>
      <c r="F20" s="603" t="s">
        <v>98</v>
      </c>
      <c r="G20" s="598"/>
      <c r="H20" s="3" t="s">
        <v>29</v>
      </c>
      <c r="I20" s="6">
        <f t="shared" ca="1" si="0"/>
        <v>13</v>
      </c>
      <c r="J20" s="6">
        <f t="shared" ca="1" si="0"/>
        <v>8</v>
      </c>
      <c r="K20" s="6">
        <f t="shared" ca="1" si="0"/>
        <v>97</v>
      </c>
      <c r="L20" s="6">
        <f t="shared" ca="1" si="0"/>
        <v>23</v>
      </c>
      <c r="M20" s="6">
        <f t="shared" ca="1" si="0"/>
        <v>75</v>
      </c>
    </row>
    <row r="21" spans="2:13">
      <c r="B21" s="633"/>
      <c r="C21" s="599"/>
      <c r="D21" s="604"/>
      <c r="E21" s="604"/>
      <c r="F21" s="604"/>
      <c r="G21" s="599"/>
      <c r="H21" s="3" t="s">
        <v>30</v>
      </c>
      <c r="I21" s="7">
        <f t="shared" ca="1" si="0"/>
        <v>67</v>
      </c>
      <c r="J21" s="7">
        <f t="shared" ca="1" si="0"/>
        <v>77</v>
      </c>
      <c r="K21" s="7">
        <f t="shared" ca="1" si="0"/>
        <v>70</v>
      </c>
      <c r="L21" s="7">
        <f t="shared" ca="1" si="0"/>
        <v>31</v>
      </c>
      <c r="M21" s="7">
        <f t="shared" ca="1" si="0"/>
        <v>3</v>
      </c>
    </row>
    <row r="23" spans="2:13">
      <c r="B23" t="s">
        <v>866</v>
      </c>
    </row>
    <row r="33" spans="2:10">
      <c r="B33" t="s">
        <v>867</v>
      </c>
    </row>
    <row r="34" spans="2:10">
      <c r="B34" t="s">
        <v>868</v>
      </c>
    </row>
    <row r="43" spans="2:10">
      <c r="B43" t="s">
        <v>869</v>
      </c>
    </row>
    <row r="44" spans="2:10" ht="36">
      <c r="B44" s="1" t="s">
        <v>440</v>
      </c>
      <c r="C44" s="1" t="s">
        <v>870</v>
      </c>
      <c r="D44" s="1" t="s">
        <v>871</v>
      </c>
      <c r="E44" s="1" t="s">
        <v>872</v>
      </c>
      <c r="F44" s="1" t="s">
        <v>873</v>
      </c>
      <c r="G44" s="1" t="s">
        <v>874</v>
      </c>
      <c r="H44" s="1" t="s">
        <v>875</v>
      </c>
      <c r="I44" s="1"/>
      <c r="J44" s="1"/>
    </row>
    <row r="45" spans="2:10">
      <c r="B45" s="8" t="s">
        <v>859</v>
      </c>
      <c r="C45" s="3" t="s">
        <v>876</v>
      </c>
      <c r="D45" s="9">
        <v>1</v>
      </c>
      <c r="E45" s="9">
        <v>2</v>
      </c>
      <c r="F45" s="9">
        <v>3</v>
      </c>
      <c r="G45" s="9">
        <v>4</v>
      </c>
      <c r="H45" s="9">
        <v>2</v>
      </c>
      <c r="I45" s="9"/>
      <c r="J45" s="9"/>
    </row>
    <row r="46" spans="2:10">
      <c r="B46" t="s">
        <v>877</v>
      </c>
    </row>
    <row r="48" spans="2:10">
      <c r="B48" s="607"/>
      <c r="C48" s="607"/>
      <c r="D48" s="607"/>
      <c r="E48" s="607"/>
      <c r="F48" s="607"/>
    </row>
    <row r="64" spans="2:2">
      <c r="B64" t="s">
        <v>145</v>
      </c>
    </row>
  </sheetData>
  <mergeCells count="37">
    <mergeCell ref="B48:F48"/>
    <mergeCell ref="B20:B21"/>
    <mergeCell ref="C20:C21"/>
    <mergeCell ref="D20:D21"/>
    <mergeCell ref="E20:E21"/>
    <mergeCell ref="F20:F21"/>
    <mergeCell ref="G20:G21"/>
    <mergeCell ref="B18:B19"/>
    <mergeCell ref="C18:C19"/>
    <mergeCell ref="D18:D19"/>
    <mergeCell ref="E18:E19"/>
    <mergeCell ref="F18:F19"/>
    <mergeCell ref="G18:G19"/>
    <mergeCell ref="G16:G17"/>
    <mergeCell ref="B14:B15"/>
    <mergeCell ref="C14:C15"/>
    <mergeCell ref="D14:D15"/>
    <mergeCell ref="E14:E15"/>
    <mergeCell ref="F14:F15"/>
    <mergeCell ref="G14:G15"/>
    <mergeCell ref="B16:B17"/>
    <mergeCell ref="C16:C17"/>
    <mergeCell ref="D16:D17"/>
    <mergeCell ref="E16:E17"/>
    <mergeCell ref="F16:F17"/>
    <mergeCell ref="G12:G13"/>
    <mergeCell ref="B10:B11"/>
    <mergeCell ref="C10:C11"/>
    <mergeCell ref="D10:D11"/>
    <mergeCell ref="E10:E11"/>
    <mergeCell ref="F10:F11"/>
    <mergeCell ref="G10:G11"/>
    <mergeCell ref="B12:B13"/>
    <mergeCell ref="C12:C13"/>
    <mergeCell ref="D12:D13"/>
    <mergeCell ref="E12:E13"/>
    <mergeCell ref="F12:F13"/>
  </mergeCells>
  <conditionalFormatting sqref="B45">
    <cfRule type="containsBlanks" dxfId="4" priority="1">
      <formula>LEN(TRIM(B45))=0</formula>
    </cfRule>
  </conditionalFormatting>
  <conditionalFormatting sqref="B10:G10 B12:G12 B14:G14 B16:G16 B18:G18 B20:G20">
    <cfRule type="containsBlanks" dxfId="3" priority="5">
      <formula>LEN(TRIM(B10))=0</formula>
    </cfRule>
  </conditionalFormatting>
  <conditionalFormatting sqref="I11:M11 I13:M13 I15:M15 I17:M17 I19:M19 I21:M21">
    <cfRule type="containsBlanks" dxfId="2" priority="2">
      <formula>LEN(TRIM(I11))=0</formula>
    </cfRule>
    <cfRule type="expression" dxfId="1" priority="3">
      <formula>I11&gt;=I10</formula>
    </cfRule>
    <cfRule type="expression" dxfId="0" priority="4">
      <formula>I11&lt;I10</formula>
    </cfRule>
  </conditionalFormatting>
  <pageMargins left="0.7" right="0.7" top="0.75" bottom="0.75" header="0.3" footer="0.3"/>
  <customProperties>
    <customPr name="_pios_id" r:id="rId1"/>
  </customPropertie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4B27D9D03752B488D0EB197B093116C" ma:contentTypeVersion="5" ma:contentTypeDescription="Create a new document." ma:contentTypeScope="" ma:versionID="c913ed93ba89711e67cf4b546c3dee6d">
  <xsd:schema xmlns:xsd="http://www.w3.org/2001/XMLSchema" xmlns:xs="http://www.w3.org/2001/XMLSchema" xmlns:p="http://schemas.microsoft.com/office/2006/metadata/properties" xmlns:ns2="97bf1bb4-72fd-436e-9bcd-3f2aa430c3a5" targetNamespace="http://schemas.microsoft.com/office/2006/metadata/properties" ma:root="true" ma:fieldsID="9aacf84fa96e13e05627a9c654cf9d4b" ns2:_="">
    <xsd:import namespace="97bf1bb4-72fd-436e-9bcd-3f2aa430c3a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bf1bb4-72fd-436e-9bcd-3f2aa430c3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40374fb-a6cc-4854-989f-c1d94a7967ee"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5971259-5668-412C-84BC-18F005E6E496}"/>
</file>

<file path=customXml/itemProps2.xml><?xml version="1.0" encoding="utf-8"?>
<ds:datastoreItem xmlns:ds="http://schemas.openxmlformats.org/officeDocument/2006/customXml" ds:itemID="{4F2407A2-54EA-4B87-8BBA-43E26E11096B}"/>
</file>

<file path=customXml/itemProps3.xml><?xml version="1.0" encoding="utf-8"?>
<ds:datastoreItem xmlns:ds="http://schemas.openxmlformats.org/officeDocument/2006/customXml" ds:itemID="{45AC3F4C-8589-44EB-B7E4-A9FB4D5F73C6}"/>
</file>

<file path=customXml/itemProps4.xml><?xml version="1.0" encoding="utf-8"?>
<ds:datastoreItem xmlns:ds="http://schemas.openxmlformats.org/officeDocument/2006/customXml" ds:itemID="{B384119B-8056-4C8C-8778-30E44AAA90F3}"/>
</file>

<file path=docMetadata/LabelInfo.xml><?xml version="1.0" encoding="utf-8"?>
<clbl:labelList xmlns:clbl="http://schemas.microsoft.com/office/2020/mipLabelMetadata">
  <clbl:label id="{1a407a2d-7675-4d17-8692-b3ac285306e4}" enabled="0" method="" siteId="{1a407a2d-7675-4d17-8692-b3ac285306e4}"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Philips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Bhardwaj, Kavya</dc:creator>
  <cp:keywords/>
  <dc:description/>
  <cp:lastModifiedBy/>
  <cp:revision/>
  <dcterms:created xsi:type="dcterms:W3CDTF">2025-11-20T07:45:53Z</dcterms:created>
  <dcterms:modified xsi:type="dcterms:W3CDTF">2026-09-17T10:10:30Z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0x01010074B27D9D03752B488D0EB197B093116C</vt:lpwstr>
  </property>
</Properties>
</file>