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d.docs.live.net/2a6b4f51c255f2bf/Desktop/myntra/images/categories/"/>
    </mc:Choice>
  </mc:AlternateContent>
  <xr:revisionPtr revIDLastSave="3" documentId="11_1670EF23E0C429007229BCAFE4D1608CA6855680" xr6:coauthVersionLast="47" xr6:coauthVersionMax="47" xr10:uidLastSave="{31C9429F-AD78-4A2B-B6DC-6D4C4AC3D2F7}"/>
  <bookViews>
    <workbookView xWindow="-108" yWindow="-108" windowWidth="23256" windowHeight="12456" tabRatio="944" activeTab="3" xr2:uid="{00000000-000D-0000-FFFF-FFFF00000000}"/>
  </bookViews>
  <sheets>
    <sheet name="Profit &amp; Loss" sheetId="1" r:id="rId1"/>
    <sheet name="Quarters" sheetId="3" r:id="rId2"/>
    <sheet name="Cash Flow" sheetId="4" r:id="rId3"/>
    <sheet name="Data Sheet" sheetId="6" r:id="rId4"/>
    <sheet name="Balance Sheet" sheetId="2" r:id="rId5"/>
  </sheets>
  <definedNames>
    <definedName name="UPDATE">'Data Sheet'!$E$1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1" l="1"/>
  <c r="N19" i="1"/>
  <c r="N18" i="1"/>
  <c r="M19" i="1"/>
  <c r="M18" i="1"/>
  <c r="L18" i="1"/>
  <c r="C6" i="3"/>
  <c r="D6" i="3"/>
  <c r="E6" i="3"/>
  <c r="F6" i="3"/>
  <c r="G6" i="3"/>
  <c r="H6" i="3"/>
  <c r="I6" i="3"/>
  <c r="J6" i="3"/>
  <c r="K6" i="3"/>
  <c r="B6" i="3"/>
  <c r="C5" i="1"/>
  <c r="D5" i="1"/>
  <c r="D6" i="1" s="1"/>
  <c r="D19" i="1" s="1"/>
  <c r="E5" i="1"/>
  <c r="F5" i="1"/>
  <c r="G5" i="1"/>
  <c r="H5" i="1"/>
  <c r="I5" i="1"/>
  <c r="J5" i="1"/>
  <c r="K5" i="1"/>
  <c r="B5" i="1"/>
  <c r="B6" i="1" s="1"/>
  <c r="B19" i="1" s="1"/>
  <c r="G13" i="1"/>
  <c r="J13" i="1"/>
  <c r="B6" i="6"/>
  <c r="C17" i="2"/>
  <c r="C20" i="2" s="1"/>
  <c r="D17" i="2"/>
  <c r="D20" i="2" s="1"/>
  <c r="E17" i="2"/>
  <c r="F17" i="2"/>
  <c r="G17" i="2"/>
  <c r="H17" i="2"/>
  <c r="I17" i="2"/>
  <c r="J17" i="2"/>
  <c r="K17" i="2"/>
  <c r="C18" i="2"/>
  <c r="D18" i="2"/>
  <c r="E18" i="2"/>
  <c r="E21" i="2" s="1"/>
  <c r="F18" i="2"/>
  <c r="F21" i="2" s="1"/>
  <c r="G18" i="2"/>
  <c r="G21" i="2" s="1"/>
  <c r="H18" i="2"/>
  <c r="I18" i="2"/>
  <c r="J18" i="2"/>
  <c r="J21" i="2" s="1"/>
  <c r="K18" i="2"/>
  <c r="B17" i="2"/>
  <c r="C4" i="2"/>
  <c r="D4" i="2"/>
  <c r="E4" i="2"/>
  <c r="E5" i="2"/>
  <c r="F4" i="2"/>
  <c r="G4" i="2"/>
  <c r="G23" i="2" s="1"/>
  <c r="H4" i="2"/>
  <c r="I4" i="2"/>
  <c r="I23" i="2" s="1"/>
  <c r="I5" i="2"/>
  <c r="J4" i="2"/>
  <c r="J5" i="2"/>
  <c r="J23" i="2" s="1"/>
  <c r="K4" i="2"/>
  <c r="C5" i="2"/>
  <c r="D5" i="2"/>
  <c r="F5" i="2"/>
  <c r="G5" i="2"/>
  <c r="H5" i="2"/>
  <c r="H23" i="2" s="1"/>
  <c r="K5" i="2"/>
  <c r="C6" i="2"/>
  <c r="D6" i="2"/>
  <c r="E6" i="2"/>
  <c r="F6" i="2"/>
  <c r="G6" i="2"/>
  <c r="H6" i="2"/>
  <c r="I6" i="2"/>
  <c r="J6" i="2"/>
  <c r="K6" i="2"/>
  <c r="C7" i="2"/>
  <c r="D7" i="2"/>
  <c r="D16" i="2" s="1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F16" i="2" s="1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E14" i="3" s="1"/>
  <c r="F4" i="3"/>
  <c r="F14" i="3" s="1"/>
  <c r="G4" i="3"/>
  <c r="H4" i="3"/>
  <c r="I4" i="3"/>
  <c r="L4" i="1" s="1"/>
  <c r="L23" i="1" s="1"/>
  <c r="J4" i="3"/>
  <c r="J14" i="3" s="1"/>
  <c r="K4" i="3"/>
  <c r="K14" i="3" s="1"/>
  <c r="C5" i="3"/>
  <c r="D5" i="3"/>
  <c r="E5" i="3"/>
  <c r="F5" i="3"/>
  <c r="G5" i="3"/>
  <c r="H5" i="3"/>
  <c r="L5" i="1" s="1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L10" i="1" s="1"/>
  <c r="I10" i="3"/>
  <c r="J10" i="3"/>
  <c r="K10" i="3"/>
  <c r="C11" i="3"/>
  <c r="D11" i="3"/>
  <c r="E11" i="3"/>
  <c r="F11" i="3"/>
  <c r="G11" i="3"/>
  <c r="H11" i="3"/>
  <c r="I11" i="3"/>
  <c r="J11" i="3"/>
  <c r="L11" i="1" s="1"/>
  <c r="K11" i="3"/>
  <c r="C12" i="3"/>
  <c r="D12" i="3"/>
  <c r="E12" i="3"/>
  <c r="F12" i="3"/>
  <c r="G12" i="3"/>
  <c r="H12" i="3"/>
  <c r="I12" i="3"/>
  <c r="J12" i="3"/>
  <c r="L12" i="1" s="1"/>
  <c r="L13" i="1" s="1"/>
  <c r="L14" i="1" s="1"/>
  <c r="L25" i="1" s="1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E6" i="1" s="1"/>
  <c r="E19" i="1" s="1"/>
  <c r="F4" i="1"/>
  <c r="F20" i="2" s="1"/>
  <c r="G4" i="1"/>
  <c r="G6" i="1" s="1"/>
  <c r="G19" i="1" s="1"/>
  <c r="H4" i="1"/>
  <c r="I4" i="1"/>
  <c r="J4" i="1"/>
  <c r="J6" i="1" s="1"/>
  <c r="J19" i="1" s="1"/>
  <c r="K4" i="1"/>
  <c r="K20" i="2" s="1"/>
  <c r="C7" i="1"/>
  <c r="D7" i="1"/>
  <c r="E7" i="1"/>
  <c r="F7" i="1"/>
  <c r="G7" i="1"/>
  <c r="H7" i="1"/>
  <c r="I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C13" i="1" s="1"/>
  <c r="D12" i="1"/>
  <c r="D23" i="2" s="1"/>
  <c r="E12" i="1"/>
  <c r="E23" i="2" s="1"/>
  <c r="F12" i="1"/>
  <c r="F13" i="1" s="1"/>
  <c r="G12" i="1"/>
  <c r="H12" i="1"/>
  <c r="H13" i="1" s="1"/>
  <c r="I12" i="1"/>
  <c r="J12" i="1"/>
  <c r="K12" i="1"/>
  <c r="K13" i="1" s="1"/>
  <c r="C15" i="1"/>
  <c r="D15" i="1"/>
  <c r="E15" i="1"/>
  <c r="F15" i="1"/>
  <c r="G15" i="1"/>
  <c r="H15" i="1"/>
  <c r="I15" i="1"/>
  <c r="J15" i="1"/>
  <c r="J14" i="1"/>
  <c r="K15" i="1"/>
  <c r="K14" i="1" s="1"/>
  <c r="B15" i="1"/>
  <c r="I13" i="1"/>
  <c r="B7" i="1"/>
  <c r="B4" i="1"/>
  <c r="B20" i="2" s="1"/>
  <c r="A1" i="1"/>
  <c r="E1" i="6"/>
  <c r="H1" i="1" s="1"/>
  <c r="H16" i="2"/>
  <c r="K23" i="2"/>
  <c r="C23" i="2"/>
  <c r="K16" i="2"/>
  <c r="C16" i="2"/>
  <c r="C6" i="1"/>
  <c r="C19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I21" i="2"/>
  <c r="H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H14" i="3"/>
  <c r="B12" i="3"/>
  <c r="B11" i="3"/>
  <c r="B10" i="3"/>
  <c r="B9" i="3"/>
  <c r="B8" i="3"/>
  <c r="B7" i="3"/>
  <c r="B4" i="3"/>
  <c r="B14" i="3" s="1"/>
  <c r="B3" i="3"/>
  <c r="L15" i="1"/>
  <c r="B12" i="1"/>
  <c r="B13" i="1" s="1"/>
  <c r="B11" i="1"/>
  <c r="B10" i="1"/>
  <c r="B9" i="1"/>
  <c r="B8" i="1"/>
  <c r="B3" i="1"/>
  <c r="G14" i="3"/>
  <c r="G20" i="2"/>
  <c r="E20" i="2"/>
  <c r="L6" i="1"/>
  <c r="A1" i="3"/>
  <c r="A1" i="2"/>
  <c r="A1" i="4"/>
  <c r="N11" i="1" l="1"/>
  <c r="M11" i="1"/>
  <c r="L19" i="1"/>
  <c r="L24" i="1" s="1"/>
  <c r="L7" i="1"/>
  <c r="D24" i="2"/>
  <c r="G24" i="2"/>
  <c r="I14" i="3"/>
  <c r="E1" i="3"/>
  <c r="I16" i="2"/>
  <c r="K24" i="2"/>
  <c r="K6" i="1"/>
  <c r="K19" i="1" s="1"/>
  <c r="E24" i="2"/>
  <c r="E1" i="2"/>
  <c r="I14" i="1"/>
  <c r="K25" i="1" s="1"/>
  <c r="M25" i="1" s="1"/>
  <c r="M14" i="1" s="1"/>
  <c r="C24" i="2"/>
  <c r="H14" i="1"/>
  <c r="I23" i="1"/>
  <c r="N23" i="1" s="1"/>
  <c r="N4" i="1" s="1"/>
  <c r="L8" i="1"/>
  <c r="N8" i="1" s="1"/>
  <c r="J24" i="2"/>
  <c r="J23" i="1"/>
  <c r="B23" i="2"/>
  <c r="G16" i="2"/>
  <c r="D13" i="1"/>
  <c r="E13" i="1" s="1"/>
  <c r="H23" i="1"/>
  <c r="J20" i="2"/>
  <c r="I24" i="2"/>
  <c r="L9" i="1"/>
  <c r="M9" i="1" s="1"/>
  <c r="F23" i="2"/>
  <c r="H24" i="2"/>
  <c r="I6" i="1"/>
  <c r="I19" i="1" s="1"/>
  <c r="I24" i="1" s="1"/>
  <c r="F24" i="2"/>
  <c r="J25" i="1"/>
  <c r="H25" i="1"/>
  <c r="I25" i="1"/>
  <c r="I20" i="2"/>
  <c r="J24" i="1"/>
  <c r="H20" i="2"/>
  <c r="K23" i="1"/>
  <c r="M23" i="1" s="1"/>
  <c r="M4" i="1" s="1"/>
  <c r="H6" i="1"/>
  <c r="H19" i="1" s="1"/>
  <c r="F6" i="1"/>
  <c r="F19" i="1" s="1"/>
  <c r="H24" i="1" s="1"/>
  <c r="E1" i="4"/>
  <c r="M8" i="1" l="1"/>
  <c r="K24" i="1"/>
  <c r="M24" i="1" s="1"/>
  <c r="N24" i="1"/>
  <c r="N25" i="1"/>
  <c r="N14" i="1" s="1"/>
  <c r="N9" i="1"/>
  <c r="N6" i="1"/>
  <c r="N10" i="1" s="1"/>
  <c r="N12" i="1" s="1"/>
  <c r="N13" i="1" s="1"/>
  <c r="N5" i="1"/>
  <c r="M6" i="1"/>
  <c r="M10" i="1" s="1"/>
  <c r="M12" i="1" s="1"/>
  <c r="M13" i="1" s="1"/>
  <c r="M15" i="1" s="1"/>
  <c r="N15" i="1" l="1"/>
  <c r="M5" i="1"/>
</calcChain>
</file>

<file path=xl/sharedStrings.xml><?xml version="1.0" encoding="utf-8"?>
<sst xmlns="http://schemas.openxmlformats.org/spreadsheetml/2006/main" count="133" uniqueCount="81">
  <si>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</si>
  <si>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</si>
  <si>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</si>
  <si>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</si>
  <si>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</si>
  <si>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</si>
  <si>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</si>
  <si>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</si>
  <si>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</si>
  <si>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</si>
  <si>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</si>
  <si>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</si>
  <si>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</si>
  <si>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</si>
  <si>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</si>
  <si>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</si>
  <si>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</si>
  <si>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</si>
  <si>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</si>
  <si>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</si>
  <si>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</si>
  <si>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</si>
  <si>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</si>
  <si>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</si>
  <si>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</si>
  <si>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</si>
  <si>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</si>
  <si>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</si>
  <si>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</si>
  <si>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</si>
  <si>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</si>
  <si>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</si>
  <si>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</si>
  <si>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</si>
  <si>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</si>
  <si>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</si>
  <si>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</si>
  <si>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</si>
  <si>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</si>
  <si>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</si>
  <si>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</si>
  <si>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</si>
  <si>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</si>
  <si>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</si>
  <si>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</si>
  <si>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</si>
  <si>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</si>
  <si>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</si>
  <si>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EPS</t>
  </si>
  <si>
    <t>Price</t>
  </si>
  <si>
    <t>Return on Equity</t>
  </si>
  <si>
    <t>Return on Capital Emp</t>
  </si>
  <si>
    <t>LATEST VERSION</t>
  </si>
  <si>
    <t>CURRENT VERSION</t>
  </si>
  <si>
    <t>INDIAN RAILWAY FINANCE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</si>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</sst>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[$-409]mmm\-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23">
    <xf numFmtId="0" fontId="0" fillId="0" borderId="0" xfId="0"/>
    <xf numFmtId="43" fontId="1" fillId="0" borderId="0" xfId="1" applyFont="1" applyBorder="1"/>
    <xf numFmtId="0" fontId="1" fillId="0" borderId="0" xfId="0" applyFont="1"/>
    <xf numFmtId="0" fontId="6" fillId="0" borderId="0" xfId="0" applyFont="1"/>
    <xf numFmtId="43" fontId="0" fillId="0" borderId="0" xfId="1" applyFont="1" applyBorder="1"/>
    <xf numFmtId="10" fontId="0" fillId="0" borderId="0" xfId="0" applyNumberFormat="1"/>
    <xf numFmtId="43" fontId="3" fillId="0" borderId="0" xfId="1" applyFont="1" applyBorder="1"/>
    <xf numFmtId="9" fontId="3" fillId="0" borderId="0" xfId="1" applyNumberFormat="1" applyFont="1" applyBorder="1"/>
    <xf numFmtId="43" fontId="2" fillId="2" borderId="0" xfId="3" applyNumberFormat="1" applyFont="1" applyBorder="1"/>
    <xf numFmtId="43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/>
    <xf numFmtId="165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43" fontId="0" fillId="0" borderId="0" xfId="1" applyFont="1" applyBorder="1" applyAlignment="1">
      <alignment horizontal="center"/>
    </xf>
    <xf numFmtId="43" fontId="1" fillId="0" borderId="0" xfId="1" applyFont="1" applyBorder="1" applyAlignment="1">
      <alignment horizontal="center"/>
    </xf>
    <xf numFmtId="10" fontId="1" fillId="0" borderId="0" xfId="0" applyNumberFormat="1" applyFont="1"/>
    <xf numFmtId="165" fontId="2" fillId="5" borderId="0" xfId="1" applyNumberFormat="1" applyFont="1" applyFill="1" applyBorder="1"/>
    <xf numFmtId="165" fontId="7" fillId="0" borderId="0" xfId="1" applyNumberFormat="1" applyFont="1" applyFill="1" applyBorder="1"/>
    <xf numFmtId="0" fontId="7" fillId="0" borderId="0" xfId="0" applyFont="1"/>
    <xf numFmtId="164" fontId="0" fillId="0" borderId="0" xfId="1" applyNumberFormat="1" applyFont="1" applyBorder="1"/>
    <xf numFmtId="43" fontId="4" fillId="0" borderId="0" xfId="2" applyNumberFormat="1" applyBorder="1" applyAlignment="1" applyProtection="1">
      <alignment horizontal="center"/>
    </xf>
    <xf numFmtId="43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&amp; Loss'!$B$3</c:f>
              <c:strCache>
                <c:ptCount val="1"/>
                <c:pt idx="0">
                  <c:v>Mar-15</c:v>
                </c:pt>
              </c:strCache>
            </c:strRef>
          </c:tx>
          <c:invertIfNegative val="0"/>
          <c:cat>
            <c:strRef>
              <c:f>'Profit &amp; Loss'!$A$4:$A$12</c:f>
              <c:strCache>
                <c:ptCount val="9"/>
                <c:pt idx="0">
                  <c:v>Sales</c:v>
                </c:pt>
                <c:pt idx="1">
                  <c:v>Expenses</c:v>
                </c:pt>
                <c:pt idx="2">
                  <c:v>Operating Profit</c:v>
                </c:pt>
                <c:pt idx="3">
                  <c:v>Other Income</c:v>
                </c:pt>
                <c:pt idx="4">
                  <c:v>Depreciation</c:v>
                </c:pt>
                <c:pt idx="5">
                  <c:v>Interest</c:v>
                </c:pt>
                <c:pt idx="6">
                  <c:v>Profit before tax</c:v>
                </c:pt>
                <c:pt idx="7">
                  <c:v>Tax</c:v>
                </c:pt>
                <c:pt idx="8">
                  <c:v>Net profit</c:v>
                </c:pt>
              </c:strCache>
            </c:strRef>
          </c:cat>
          <c:val>
            <c:numRef>
              <c:f>'Profit &amp; Loss'!$B$4:$B$12</c:f>
              <c:numCache>
                <c:formatCode>_(* #,##0.00_);_(* \(#,##0.00\);_(* "-"??_);_(@_)</c:formatCode>
                <c:ptCount val="9"/>
                <c:pt idx="0">
                  <c:v>6939.19</c:v>
                </c:pt>
                <c:pt idx="1">
                  <c:v>33.71</c:v>
                </c:pt>
                <c:pt idx="2">
                  <c:v>6905.48</c:v>
                </c:pt>
                <c:pt idx="3">
                  <c:v>0.97</c:v>
                </c:pt>
                <c:pt idx="4">
                  <c:v>0.44</c:v>
                </c:pt>
                <c:pt idx="5">
                  <c:v>4991.83</c:v>
                </c:pt>
                <c:pt idx="6">
                  <c:v>1914.18</c:v>
                </c:pt>
                <c:pt idx="7">
                  <c:v>1155.8800000000001</c:v>
                </c:pt>
                <c:pt idx="8">
                  <c:v>758.3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5-48E7-A7D8-A6E43E73BC47}"/>
            </c:ext>
          </c:extLst>
        </c:ser>
        <c:ser>
          <c:idx val="1"/>
          <c:order val="1"/>
          <c:tx>
            <c:strRef>
              <c:f>'Profit &amp; Loss'!$C$3</c:f>
              <c:strCache>
                <c:ptCount val="1"/>
                <c:pt idx="0">
                  <c:v>Mar-16</c:v>
                </c:pt>
              </c:strCache>
            </c:strRef>
          </c:tx>
          <c:invertIfNegative val="0"/>
          <c:cat>
            <c:strRef>
              <c:f>'Profit &amp; Loss'!$A$4:$A$12</c:f>
              <c:strCache>
                <c:ptCount val="9"/>
                <c:pt idx="0">
                  <c:v>Sales</c:v>
                </c:pt>
                <c:pt idx="1">
                  <c:v>Expenses</c:v>
                </c:pt>
                <c:pt idx="2">
                  <c:v>Operating Profit</c:v>
                </c:pt>
                <c:pt idx="3">
                  <c:v>Other Income</c:v>
                </c:pt>
                <c:pt idx="4">
                  <c:v>Depreciation</c:v>
                </c:pt>
                <c:pt idx="5">
                  <c:v>Interest</c:v>
                </c:pt>
                <c:pt idx="6">
                  <c:v>Profit before tax</c:v>
                </c:pt>
                <c:pt idx="7">
                  <c:v>Tax</c:v>
                </c:pt>
                <c:pt idx="8">
                  <c:v>Net profit</c:v>
                </c:pt>
              </c:strCache>
            </c:strRef>
          </c:cat>
          <c:val>
            <c:numRef>
              <c:f>'Profit &amp; Loss'!$C$4:$C$12</c:f>
              <c:numCache>
                <c:formatCode>_(* #,##0.00_);_(* \(#,##0.00\);_(* "-"??_);_(@_)</c:formatCode>
                <c:ptCount val="9"/>
                <c:pt idx="0">
                  <c:v>7506.69</c:v>
                </c:pt>
                <c:pt idx="1">
                  <c:v>38.200000000000003</c:v>
                </c:pt>
                <c:pt idx="2">
                  <c:v>7468.49</c:v>
                </c:pt>
                <c:pt idx="3">
                  <c:v>0.61</c:v>
                </c:pt>
                <c:pt idx="4">
                  <c:v>0.35</c:v>
                </c:pt>
                <c:pt idx="5">
                  <c:v>5518.84</c:v>
                </c:pt>
                <c:pt idx="6">
                  <c:v>1949.91</c:v>
                </c:pt>
                <c:pt idx="7">
                  <c:v>1101.22</c:v>
                </c:pt>
                <c:pt idx="8">
                  <c:v>848.69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F5-48E7-A7D8-A6E43E73BC47}"/>
            </c:ext>
          </c:extLst>
        </c:ser>
        <c:ser>
          <c:idx val="2"/>
          <c:order val="2"/>
          <c:tx>
            <c:strRef>
              <c:f>'Profit &amp; Loss'!$D$3</c:f>
              <c:strCache>
                <c:ptCount val="1"/>
                <c:pt idx="0">
                  <c:v>Mar-17</c:v>
                </c:pt>
              </c:strCache>
            </c:strRef>
          </c:tx>
          <c:invertIfNegative val="0"/>
          <c:cat>
            <c:strRef>
              <c:f>'Profit &amp; Loss'!$A$4:$A$12</c:f>
              <c:strCache>
                <c:ptCount val="9"/>
                <c:pt idx="0">
                  <c:v>Sales</c:v>
                </c:pt>
                <c:pt idx="1">
                  <c:v>Expenses</c:v>
                </c:pt>
                <c:pt idx="2">
                  <c:v>Operating Profit</c:v>
                </c:pt>
                <c:pt idx="3">
                  <c:v>Other Income</c:v>
                </c:pt>
                <c:pt idx="4">
                  <c:v>Depreciation</c:v>
                </c:pt>
                <c:pt idx="5">
                  <c:v>Interest</c:v>
                </c:pt>
                <c:pt idx="6">
                  <c:v>Profit before tax</c:v>
                </c:pt>
                <c:pt idx="7">
                  <c:v>Tax</c:v>
                </c:pt>
                <c:pt idx="8">
                  <c:v>Net profit</c:v>
                </c:pt>
              </c:strCache>
            </c:strRef>
          </c:cat>
          <c:val>
            <c:numRef>
              <c:f>'Profit &amp; Loss'!$D$4:$D$12</c:f>
              <c:numCache>
                <c:formatCode>_(* #,##0.00_);_(* \(#,##0.00\);_(* "-"??_);_(@_)</c:formatCode>
                <c:ptCount val="9"/>
                <c:pt idx="0">
                  <c:v>9047.3799999999992</c:v>
                </c:pt>
                <c:pt idx="1">
                  <c:v>25.89</c:v>
                </c:pt>
                <c:pt idx="2">
                  <c:v>9021.49</c:v>
                </c:pt>
                <c:pt idx="3">
                  <c:v>0.26</c:v>
                </c:pt>
                <c:pt idx="4">
                  <c:v>0.35</c:v>
                </c:pt>
                <c:pt idx="5">
                  <c:v>6888.13</c:v>
                </c:pt>
                <c:pt idx="6">
                  <c:v>2133.27</c:v>
                </c:pt>
                <c:pt idx="7">
                  <c:v>1199.46</c:v>
                </c:pt>
                <c:pt idx="8">
                  <c:v>933.81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F5-48E7-A7D8-A6E43E73BC47}"/>
            </c:ext>
          </c:extLst>
        </c:ser>
        <c:ser>
          <c:idx val="3"/>
          <c:order val="3"/>
          <c:tx>
            <c:strRef>
              <c:f>'Profit &amp; Loss'!$E$3</c:f>
              <c:strCache>
                <c:ptCount val="1"/>
                <c:pt idx="0">
                  <c:v>Mar-18</c:v>
                </c:pt>
              </c:strCache>
            </c:strRef>
          </c:tx>
          <c:invertIfNegative val="0"/>
          <c:cat>
            <c:strRef>
              <c:f>'Profit &amp; Loss'!$A$4:$A$12</c:f>
              <c:strCache>
                <c:ptCount val="9"/>
                <c:pt idx="0">
                  <c:v>Sales</c:v>
                </c:pt>
                <c:pt idx="1">
                  <c:v>Expenses</c:v>
                </c:pt>
                <c:pt idx="2">
                  <c:v>Operating Profit</c:v>
                </c:pt>
                <c:pt idx="3">
                  <c:v>Other Income</c:v>
                </c:pt>
                <c:pt idx="4">
                  <c:v>Depreciation</c:v>
                </c:pt>
                <c:pt idx="5">
                  <c:v>Interest</c:v>
                </c:pt>
                <c:pt idx="6">
                  <c:v>Profit before tax</c:v>
                </c:pt>
                <c:pt idx="7">
                  <c:v>Tax</c:v>
                </c:pt>
                <c:pt idx="8">
                  <c:v>Net profit</c:v>
                </c:pt>
              </c:strCache>
            </c:strRef>
          </c:cat>
          <c:val>
            <c:numRef>
              <c:f>'Profit &amp; Loss'!$E$4:$E$12</c:f>
              <c:numCache>
                <c:formatCode>_(* #,##0.00_);_(* \(#,##0.00\);_(* "-"??_);_(@_)</c:formatCode>
                <c:ptCount val="9"/>
                <c:pt idx="0">
                  <c:v>9267.14</c:v>
                </c:pt>
                <c:pt idx="1">
                  <c:v>37.94</c:v>
                </c:pt>
                <c:pt idx="2">
                  <c:v>9229.1999999999989</c:v>
                </c:pt>
                <c:pt idx="3">
                  <c:v>1.23</c:v>
                </c:pt>
                <c:pt idx="4">
                  <c:v>0.35</c:v>
                </c:pt>
                <c:pt idx="5">
                  <c:v>6637.59</c:v>
                </c:pt>
                <c:pt idx="6">
                  <c:v>2592.4899999999998</c:v>
                </c:pt>
                <c:pt idx="7">
                  <c:v>537.83000000000004</c:v>
                </c:pt>
                <c:pt idx="8">
                  <c:v>2054.66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F5-48E7-A7D8-A6E43E73BC47}"/>
            </c:ext>
          </c:extLst>
        </c:ser>
        <c:ser>
          <c:idx val="4"/>
          <c:order val="4"/>
          <c:tx>
            <c:strRef>
              <c:f>'Profit &amp; Loss'!$F$3</c:f>
              <c:strCache>
                <c:ptCount val="1"/>
                <c:pt idx="0">
                  <c:v>Mar-19</c:v>
                </c:pt>
              </c:strCache>
            </c:strRef>
          </c:tx>
          <c:invertIfNegative val="0"/>
          <c:cat>
            <c:strRef>
              <c:f>'Profit &amp; Loss'!$A$4:$A$12</c:f>
              <c:strCache>
                <c:ptCount val="9"/>
                <c:pt idx="0">
                  <c:v>Sales</c:v>
                </c:pt>
                <c:pt idx="1">
                  <c:v>Expenses</c:v>
                </c:pt>
                <c:pt idx="2">
                  <c:v>Operating Profit</c:v>
                </c:pt>
                <c:pt idx="3">
                  <c:v>Other Income</c:v>
                </c:pt>
                <c:pt idx="4">
                  <c:v>Depreciation</c:v>
                </c:pt>
                <c:pt idx="5">
                  <c:v>Interest</c:v>
                </c:pt>
                <c:pt idx="6">
                  <c:v>Profit before tax</c:v>
                </c:pt>
                <c:pt idx="7">
                  <c:v>Tax</c:v>
                </c:pt>
                <c:pt idx="8">
                  <c:v>Net profit</c:v>
                </c:pt>
              </c:strCache>
            </c:strRef>
          </c:cat>
          <c:val>
            <c:numRef>
              <c:f>'Profit &amp; Loss'!$F$4:$F$12</c:f>
              <c:numCache>
                <c:formatCode>_(* #,##0.00_);_(* \(#,##0.00\);_(* "-"??_);_(@_)</c:formatCode>
                <c:ptCount val="9"/>
                <c:pt idx="0">
                  <c:v>11133.59</c:v>
                </c:pt>
                <c:pt idx="1">
                  <c:v>48.47</c:v>
                </c:pt>
                <c:pt idx="2">
                  <c:v>11085.12</c:v>
                </c:pt>
                <c:pt idx="3">
                  <c:v>-0.02</c:v>
                </c:pt>
                <c:pt idx="4">
                  <c:v>0.42</c:v>
                </c:pt>
                <c:pt idx="5">
                  <c:v>8183.1</c:v>
                </c:pt>
                <c:pt idx="6">
                  <c:v>2901.58</c:v>
                </c:pt>
                <c:pt idx="7">
                  <c:v>646.84</c:v>
                </c:pt>
                <c:pt idx="8">
                  <c:v>2254.75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F5-48E7-A7D8-A6E43E73BC47}"/>
            </c:ext>
          </c:extLst>
        </c:ser>
        <c:ser>
          <c:idx val="5"/>
          <c:order val="5"/>
          <c:tx>
            <c:strRef>
              <c:f>'Profit &amp; Loss'!$G$3</c:f>
              <c:strCache>
                <c:ptCount val="1"/>
                <c:pt idx="0">
                  <c:v>Mar-20</c:v>
                </c:pt>
              </c:strCache>
            </c:strRef>
          </c:tx>
          <c:invertIfNegative val="0"/>
          <c:cat>
            <c:strRef>
              <c:f>'Profit &amp; Loss'!$A$4:$A$12</c:f>
              <c:strCache>
                <c:ptCount val="9"/>
                <c:pt idx="0">
                  <c:v>Sales</c:v>
                </c:pt>
                <c:pt idx="1">
                  <c:v>Expenses</c:v>
                </c:pt>
                <c:pt idx="2">
                  <c:v>Operating Profit</c:v>
                </c:pt>
                <c:pt idx="3">
                  <c:v>Other Income</c:v>
                </c:pt>
                <c:pt idx="4">
                  <c:v>Depreciation</c:v>
                </c:pt>
                <c:pt idx="5">
                  <c:v>Interest</c:v>
                </c:pt>
                <c:pt idx="6">
                  <c:v>Profit before tax</c:v>
                </c:pt>
                <c:pt idx="7">
                  <c:v>Tax</c:v>
                </c:pt>
                <c:pt idx="8">
                  <c:v>Net profit</c:v>
                </c:pt>
              </c:strCache>
            </c:strRef>
          </c:cat>
          <c:val>
            <c:numRef>
              <c:f>'Profit &amp; Loss'!$G$4:$G$12</c:f>
              <c:numCache>
                <c:formatCode>_(* #,##0.00_);_(* \(#,##0.00\);_(* "-"??_);_(@_)</c:formatCode>
                <c:ptCount val="9"/>
                <c:pt idx="0">
                  <c:v>13421.02</c:v>
                </c:pt>
                <c:pt idx="1">
                  <c:v>65.83</c:v>
                </c:pt>
                <c:pt idx="2">
                  <c:v>13355.19</c:v>
                </c:pt>
                <c:pt idx="3">
                  <c:v>0.06</c:v>
                </c:pt>
                <c:pt idx="4">
                  <c:v>0.46</c:v>
                </c:pt>
                <c:pt idx="5">
                  <c:v>10162.700000000001</c:v>
                </c:pt>
                <c:pt idx="6">
                  <c:v>3192.09</c:v>
                </c:pt>
                <c:pt idx="7">
                  <c:v>0</c:v>
                </c:pt>
                <c:pt idx="8">
                  <c:v>3192.1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F5-48E7-A7D8-A6E43E73BC47}"/>
            </c:ext>
          </c:extLst>
        </c:ser>
        <c:ser>
          <c:idx val="6"/>
          <c:order val="6"/>
          <c:tx>
            <c:strRef>
              <c:f>'Profit &amp; Loss'!$H$3</c:f>
              <c:strCache>
                <c:ptCount val="1"/>
                <c:pt idx="0">
                  <c:v>Mar-21</c:v>
                </c:pt>
              </c:strCache>
            </c:strRef>
          </c:tx>
          <c:invertIfNegative val="0"/>
          <c:cat>
            <c:strRef>
              <c:f>'Profit &amp; Loss'!$A$4:$A$12</c:f>
              <c:strCache>
                <c:ptCount val="9"/>
                <c:pt idx="0">
                  <c:v>Sales</c:v>
                </c:pt>
                <c:pt idx="1">
                  <c:v>Expenses</c:v>
                </c:pt>
                <c:pt idx="2">
                  <c:v>Operating Profit</c:v>
                </c:pt>
                <c:pt idx="3">
                  <c:v>Other Income</c:v>
                </c:pt>
                <c:pt idx="4">
                  <c:v>Depreciation</c:v>
                </c:pt>
                <c:pt idx="5">
                  <c:v>Interest</c:v>
                </c:pt>
                <c:pt idx="6">
                  <c:v>Profit before tax</c:v>
                </c:pt>
                <c:pt idx="7">
                  <c:v>Tax</c:v>
                </c:pt>
                <c:pt idx="8">
                  <c:v>Net profit</c:v>
                </c:pt>
              </c:strCache>
            </c:strRef>
          </c:cat>
          <c:val>
            <c:numRef>
              <c:f>'Profit &amp; Loss'!$H$4:$H$12</c:f>
              <c:numCache>
                <c:formatCode>_(* #,##0.00_);_(* \(#,##0.00\);_(* "-"??_);_(@_)</c:formatCode>
                <c:ptCount val="9"/>
                <c:pt idx="0">
                  <c:v>15770.51</c:v>
                </c:pt>
                <c:pt idx="1">
                  <c:v>113.22999999999999</c:v>
                </c:pt>
                <c:pt idx="2">
                  <c:v>15657.28</c:v>
                </c:pt>
                <c:pt idx="3">
                  <c:v>0.33</c:v>
                </c:pt>
                <c:pt idx="4">
                  <c:v>4.43</c:v>
                </c:pt>
                <c:pt idx="5">
                  <c:v>11237.05</c:v>
                </c:pt>
                <c:pt idx="6">
                  <c:v>4416.13</c:v>
                </c:pt>
                <c:pt idx="7">
                  <c:v>0</c:v>
                </c:pt>
                <c:pt idx="8">
                  <c:v>4416.13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F5-48E7-A7D8-A6E43E73BC47}"/>
            </c:ext>
          </c:extLst>
        </c:ser>
        <c:ser>
          <c:idx val="7"/>
          <c:order val="7"/>
          <c:tx>
            <c:strRef>
              <c:f>'Profit &amp; Loss'!$I$3</c:f>
              <c:strCache>
                <c:ptCount val="1"/>
                <c:pt idx="0">
                  <c:v>Mar-22</c:v>
                </c:pt>
              </c:strCache>
            </c:strRef>
          </c:tx>
          <c:invertIfNegative val="0"/>
          <c:cat>
            <c:strRef>
              <c:f>'Profit &amp; Loss'!$A$4:$A$12</c:f>
              <c:strCache>
                <c:ptCount val="9"/>
                <c:pt idx="0">
                  <c:v>Sales</c:v>
                </c:pt>
                <c:pt idx="1">
                  <c:v>Expenses</c:v>
                </c:pt>
                <c:pt idx="2">
                  <c:v>Operating Profit</c:v>
                </c:pt>
                <c:pt idx="3">
                  <c:v>Other Income</c:v>
                </c:pt>
                <c:pt idx="4">
                  <c:v>Depreciation</c:v>
                </c:pt>
                <c:pt idx="5">
                  <c:v>Interest</c:v>
                </c:pt>
                <c:pt idx="6">
                  <c:v>Profit before tax</c:v>
                </c:pt>
                <c:pt idx="7">
                  <c:v>Tax</c:v>
                </c:pt>
                <c:pt idx="8">
                  <c:v>Net profit</c:v>
                </c:pt>
              </c:strCache>
            </c:strRef>
          </c:cat>
          <c:val>
            <c:numRef>
              <c:f>'Profit &amp; Loss'!$I$4:$I$12</c:f>
              <c:numCache>
                <c:formatCode>_(* #,##0.00_);_(* \(#,##0.00\);_(* "-"??_);_(@_)</c:formatCode>
                <c:ptCount val="9"/>
                <c:pt idx="0">
                  <c:v>20299.38</c:v>
                </c:pt>
                <c:pt idx="1">
                  <c:v>122.63999999999999</c:v>
                </c:pt>
                <c:pt idx="2">
                  <c:v>20176.740000000002</c:v>
                </c:pt>
                <c:pt idx="3">
                  <c:v>2.2200000000000002</c:v>
                </c:pt>
                <c:pt idx="4">
                  <c:v>14.03</c:v>
                </c:pt>
                <c:pt idx="5">
                  <c:v>14074.78</c:v>
                </c:pt>
                <c:pt idx="6">
                  <c:v>6090.15</c:v>
                </c:pt>
                <c:pt idx="7">
                  <c:v>0.32</c:v>
                </c:pt>
                <c:pt idx="8">
                  <c:v>6089.84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F5-48E7-A7D8-A6E43E73BC47}"/>
            </c:ext>
          </c:extLst>
        </c:ser>
        <c:ser>
          <c:idx val="8"/>
          <c:order val="8"/>
          <c:tx>
            <c:strRef>
              <c:f>'Profit &amp; Loss'!$J$3</c:f>
              <c:strCache>
                <c:ptCount val="1"/>
                <c:pt idx="0">
                  <c:v>Mar-23</c:v>
                </c:pt>
              </c:strCache>
            </c:strRef>
          </c:tx>
          <c:invertIfNegative val="0"/>
          <c:cat>
            <c:strRef>
              <c:f>'Profit &amp; Loss'!$A$4:$A$12</c:f>
              <c:strCache>
                <c:ptCount val="9"/>
                <c:pt idx="0">
                  <c:v>Sales</c:v>
                </c:pt>
                <c:pt idx="1">
                  <c:v>Expenses</c:v>
                </c:pt>
                <c:pt idx="2">
                  <c:v>Operating Profit</c:v>
                </c:pt>
                <c:pt idx="3">
                  <c:v>Other Income</c:v>
                </c:pt>
                <c:pt idx="4">
                  <c:v>Depreciation</c:v>
                </c:pt>
                <c:pt idx="5">
                  <c:v>Interest</c:v>
                </c:pt>
                <c:pt idx="6">
                  <c:v>Profit before tax</c:v>
                </c:pt>
                <c:pt idx="7">
                  <c:v>Tax</c:v>
                </c:pt>
                <c:pt idx="8">
                  <c:v>Net profit</c:v>
                </c:pt>
              </c:strCache>
            </c:strRef>
          </c:cat>
          <c:val>
            <c:numRef>
              <c:f>'Profit &amp; Loss'!$J$4:$J$12</c:f>
              <c:numCache>
                <c:formatCode>_(* #,##0.00_);_(* \(#,##0.00\);_(* "-"??_);_(@_)</c:formatCode>
                <c:ptCount val="9"/>
                <c:pt idx="0">
                  <c:v>23722.09</c:v>
                </c:pt>
                <c:pt idx="1">
                  <c:v>134.32</c:v>
                </c:pt>
                <c:pt idx="2">
                  <c:v>23587.77</c:v>
                </c:pt>
                <c:pt idx="3">
                  <c:v>40.659999999999997</c:v>
                </c:pt>
                <c:pt idx="4">
                  <c:v>14.06</c:v>
                </c:pt>
                <c:pt idx="5">
                  <c:v>17447.21</c:v>
                </c:pt>
                <c:pt idx="6">
                  <c:v>6167.16</c:v>
                </c:pt>
                <c:pt idx="7">
                  <c:v>0</c:v>
                </c:pt>
                <c:pt idx="8">
                  <c:v>6167.16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F5-48E7-A7D8-A6E43E73BC47}"/>
            </c:ext>
          </c:extLst>
        </c:ser>
        <c:ser>
          <c:idx val="9"/>
          <c:order val="9"/>
          <c:tx>
            <c:strRef>
              <c:f>'Profit &amp; Loss'!$K$3</c:f>
              <c:strCache>
                <c:ptCount val="1"/>
                <c:pt idx="0">
                  <c:v>Mar-24</c:v>
                </c:pt>
              </c:strCache>
            </c:strRef>
          </c:tx>
          <c:invertIfNegative val="0"/>
          <c:cat>
            <c:strRef>
              <c:f>'Profit &amp; Loss'!$A$4:$A$12</c:f>
              <c:strCache>
                <c:ptCount val="9"/>
                <c:pt idx="0">
                  <c:v>Sales</c:v>
                </c:pt>
                <c:pt idx="1">
                  <c:v>Expenses</c:v>
                </c:pt>
                <c:pt idx="2">
                  <c:v>Operating Profit</c:v>
                </c:pt>
                <c:pt idx="3">
                  <c:v>Other Income</c:v>
                </c:pt>
                <c:pt idx="4">
                  <c:v>Depreciation</c:v>
                </c:pt>
                <c:pt idx="5">
                  <c:v>Interest</c:v>
                </c:pt>
                <c:pt idx="6">
                  <c:v>Profit before tax</c:v>
                </c:pt>
                <c:pt idx="7">
                  <c:v>Tax</c:v>
                </c:pt>
                <c:pt idx="8">
                  <c:v>Net profit</c:v>
                </c:pt>
              </c:strCache>
            </c:strRef>
          </c:cat>
          <c:val>
            <c:numRef>
              <c:f>'Profit &amp; Loss'!$K$4:$K$12</c:f>
              <c:numCache>
                <c:formatCode>_(* #,##0.00_);_(* \(#,##0.00\);_(* "-"??_);_(@_)</c:formatCode>
                <c:ptCount val="9"/>
                <c:pt idx="0">
                  <c:v>26645.47</c:v>
                </c:pt>
                <c:pt idx="1">
                  <c:v>132.86000000000001</c:v>
                </c:pt>
                <c:pt idx="2">
                  <c:v>26512.61</c:v>
                </c:pt>
                <c:pt idx="3">
                  <c:v>10.41</c:v>
                </c:pt>
                <c:pt idx="4">
                  <c:v>9.44</c:v>
                </c:pt>
                <c:pt idx="5">
                  <c:v>20101.47</c:v>
                </c:pt>
                <c:pt idx="6">
                  <c:v>6412.11</c:v>
                </c:pt>
                <c:pt idx="7">
                  <c:v>0</c:v>
                </c:pt>
                <c:pt idx="8">
                  <c:v>6412.1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F5-48E7-A7D8-A6E43E73BC47}"/>
            </c:ext>
          </c:extLst>
        </c:ser>
        <c:ser>
          <c:idx val="10"/>
          <c:order val="10"/>
          <c:tx>
            <c:strRef>
              <c:f>'Profit &amp; Loss'!$L$3</c:f>
              <c:strCache>
                <c:ptCount val="1"/>
                <c:pt idx="0">
                  <c:v>Trailing</c:v>
                </c:pt>
              </c:strCache>
            </c:strRef>
          </c:tx>
          <c:invertIfNegative val="0"/>
          <c:cat>
            <c:strRef>
              <c:f>'Profit &amp; Loss'!$A$4:$A$12</c:f>
              <c:strCache>
                <c:ptCount val="9"/>
                <c:pt idx="0">
                  <c:v>Sales</c:v>
                </c:pt>
                <c:pt idx="1">
                  <c:v>Expenses</c:v>
                </c:pt>
                <c:pt idx="2">
                  <c:v>Operating Profit</c:v>
                </c:pt>
                <c:pt idx="3">
                  <c:v>Other Income</c:v>
                </c:pt>
                <c:pt idx="4">
                  <c:v>Depreciation</c:v>
                </c:pt>
                <c:pt idx="5">
                  <c:v>Interest</c:v>
                </c:pt>
                <c:pt idx="6">
                  <c:v>Profit before tax</c:v>
                </c:pt>
                <c:pt idx="7">
                  <c:v>Tax</c:v>
                </c:pt>
                <c:pt idx="8">
                  <c:v>Net profit</c:v>
                </c:pt>
              </c:strCache>
            </c:strRef>
          </c:cat>
          <c:val>
            <c:numRef>
              <c:f>'Profit &amp; Loss'!$L$4:$L$12</c:f>
              <c:numCache>
                <c:formatCode>_(* #,##0.00_);_(* \(#,##0.00\);_(* "-"??_);_(@_)</c:formatCode>
                <c:ptCount val="9"/>
                <c:pt idx="0">
                  <c:v>26742.420000000002</c:v>
                </c:pt>
                <c:pt idx="1">
                  <c:v>136.35</c:v>
                </c:pt>
                <c:pt idx="2">
                  <c:v>26606.07</c:v>
                </c:pt>
                <c:pt idx="3">
                  <c:v>9.09</c:v>
                </c:pt>
                <c:pt idx="4">
                  <c:v>6.8</c:v>
                </c:pt>
                <c:pt idx="5">
                  <c:v>20165.41</c:v>
                </c:pt>
                <c:pt idx="6">
                  <c:v>6442.95</c:v>
                </c:pt>
                <c:pt idx="7">
                  <c:v>0</c:v>
                </c:pt>
                <c:pt idx="8">
                  <c:v>6442.95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1F5-48E7-A7D8-A6E43E73BC47}"/>
            </c:ext>
          </c:extLst>
        </c:ser>
        <c:ser>
          <c:idx val="11"/>
          <c:order val="11"/>
          <c:tx>
            <c:strRef>
              <c:f>'Profit &amp; Loss'!$M$3</c:f>
              <c:strCache>
                <c:ptCount val="1"/>
                <c:pt idx="0">
                  <c:v>Best Case</c:v>
                </c:pt>
              </c:strCache>
            </c:strRef>
          </c:tx>
          <c:invertIfNegative val="0"/>
          <c:cat>
            <c:strRef>
              <c:f>'Profit &amp; Loss'!$A$4:$A$12</c:f>
              <c:strCache>
                <c:ptCount val="9"/>
                <c:pt idx="0">
                  <c:v>Sales</c:v>
                </c:pt>
                <c:pt idx="1">
                  <c:v>Expenses</c:v>
                </c:pt>
                <c:pt idx="2">
                  <c:v>Operating Profit</c:v>
                </c:pt>
                <c:pt idx="3">
                  <c:v>Other Income</c:v>
                </c:pt>
                <c:pt idx="4">
                  <c:v>Depreciation</c:v>
                </c:pt>
                <c:pt idx="5">
                  <c:v>Interest</c:v>
                </c:pt>
                <c:pt idx="6">
                  <c:v>Profit before tax</c:v>
                </c:pt>
                <c:pt idx="7">
                  <c:v>Tax</c:v>
                </c:pt>
                <c:pt idx="8">
                  <c:v>Net profit</c:v>
                </c:pt>
              </c:strCache>
            </c:strRef>
          </c:cat>
          <c:val>
            <c:numRef>
              <c:f>'Profit &amp; Loss'!$M$4:$M$12</c:f>
              <c:numCache>
                <c:formatCode>_(* #,##0.00_);_(* \(#,##0.00\);_(* "-"??_);_(@_)</c:formatCode>
                <c:ptCount val="9"/>
                <c:pt idx="0">
                  <c:v>31735.786626117966</c:v>
                </c:pt>
                <c:pt idx="1">
                  <c:v>161.80938398511717</c:v>
                </c:pt>
                <c:pt idx="2">
                  <c:v>31573.977242132849</c:v>
                </c:pt>
                <c:pt idx="3">
                  <c:v>0</c:v>
                </c:pt>
                <c:pt idx="4">
                  <c:v>6.8</c:v>
                </c:pt>
                <c:pt idx="5">
                  <c:v>20165.41</c:v>
                </c:pt>
                <c:pt idx="6">
                  <c:v>11401.76724213285</c:v>
                </c:pt>
                <c:pt idx="7" formatCode="0%">
                  <c:v>0</c:v>
                </c:pt>
                <c:pt idx="8">
                  <c:v>11401.76724213285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1F5-48E7-A7D8-A6E43E73BC47}"/>
            </c:ext>
          </c:extLst>
        </c:ser>
        <c:ser>
          <c:idx val="12"/>
          <c:order val="12"/>
          <c:tx>
            <c:strRef>
              <c:f>'Profit &amp; Loss'!$N$3</c:f>
              <c:strCache>
                <c:ptCount val="1"/>
                <c:pt idx="0">
                  <c:v>Worst Case</c:v>
                </c:pt>
              </c:strCache>
            </c:strRef>
          </c:tx>
          <c:invertIfNegative val="0"/>
          <c:cat>
            <c:strRef>
              <c:f>'Profit &amp; Loss'!$A$4:$A$12</c:f>
              <c:strCache>
                <c:ptCount val="9"/>
                <c:pt idx="0">
                  <c:v>Sales</c:v>
                </c:pt>
                <c:pt idx="1">
                  <c:v>Expenses</c:v>
                </c:pt>
                <c:pt idx="2">
                  <c:v>Operating Profit</c:v>
                </c:pt>
                <c:pt idx="3">
                  <c:v>Other Income</c:v>
                </c:pt>
                <c:pt idx="4">
                  <c:v>Depreciation</c:v>
                </c:pt>
                <c:pt idx="5">
                  <c:v>Interest</c:v>
                </c:pt>
                <c:pt idx="6">
                  <c:v>Profit before tax</c:v>
                </c:pt>
                <c:pt idx="7">
                  <c:v>Tax</c:v>
                </c:pt>
                <c:pt idx="8">
                  <c:v>Net profit</c:v>
                </c:pt>
              </c:strCache>
            </c:strRef>
          </c:cat>
          <c:val>
            <c:numRef>
              <c:f>'Profit &amp; Loss'!$N$4:$N$12</c:f>
              <c:numCache>
                <c:formatCode>_(* #,##0.00_);_(* \(#,##0.00\);_(* "-"??_);_(@_)</c:formatCode>
                <c:ptCount val="9"/>
                <c:pt idx="0">
                  <c:v>29941.058870103774</c:v>
                </c:pt>
                <c:pt idx="1">
                  <c:v>170.57010356782484</c:v>
                </c:pt>
                <c:pt idx="2">
                  <c:v>29770.488766535949</c:v>
                </c:pt>
                <c:pt idx="3">
                  <c:v>0</c:v>
                </c:pt>
                <c:pt idx="4">
                  <c:v>6.8</c:v>
                </c:pt>
                <c:pt idx="5">
                  <c:v>20165.41</c:v>
                </c:pt>
                <c:pt idx="6">
                  <c:v>9598.2787665359501</c:v>
                </c:pt>
                <c:pt idx="7" formatCode="0%">
                  <c:v>0</c:v>
                </c:pt>
                <c:pt idx="8">
                  <c:v>9598.2787665359501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1F5-48E7-A7D8-A6E43E73B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086912"/>
        <c:axId val="144088448"/>
      </c:barChart>
      <c:catAx>
        <c:axId val="144086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4088448"/>
        <c:crosses val="autoZero"/>
        <c:auto val="1"/>
        <c:lblAlgn val="ctr"/>
        <c:lblOffset val="100"/>
        <c:noMultiLvlLbl val="0"/>
      </c:catAx>
      <c:valAx>
        <c:axId val="144088448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144086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Quarters!$B$3</c:f>
              <c:strCache>
                <c:ptCount val="1"/>
                <c:pt idx="0">
                  <c:v>Mar-22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Quarters!$A$4:$A$12</c:f>
              <c:strCache>
                <c:ptCount val="9"/>
                <c:pt idx="0">
                  <c:v>Sales</c:v>
                </c:pt>
                <c:pt idx="1">
                  <c:v>Expenses</c:v>
                </c:pt>
                <c:pt idx="2">
                  <c:v>Operating Profit</c:v>
                </c:pt>
                <c:pt idx="3">
                  <c:v>Other Income</c:v>
                </c:pt>
                <c:pt idx="4">
                  <c:v>Depreciation</c:v>
                </c:pt>
                <c:pt idx="5">
                  <c:v>Interest</c:v>
                </c:pt>
                <c:pt idx="6">
                  <c:v>Profit before tax</c:v>
                </c:pt>
                <c:pt idx="7">
                  <c:v>Tax</c:v>
                </c:pt>
                <c:pt idx="8">
                  <c:v>Net profit</c:v>
                </c:pt>
              </c:strCache>
            </c:strRef>
          </c:cat>
          <c:val>
            <c:numRef>
              <c:f>Quarters!$B$4:$B$12</c:f>
              <c:numCache>
                <c:formatCode>_(* #,##0.00_);_(* \(#,##0.00\);_(* "-"??_);_(@_)</c:formatCode>
                <c:ptCount val="9"/>
                <c:pt idx="0">
                  <c:v>5931.72</c:v>
                </c:pt>
                <c:pt idx="1">
                  <c:v>82.44</c:v>
                </c:pt>
                <c:pt idx="2">
                  <c:v>5849.28</c:v>
                </c:pt>
                <c:pt idx="3">
                  <c:v>1.08</c:v>
                </c:pt>
                <c:pt idx="4">
                  <c:v>4.72</c:v>
                </c:pt>
                <c:pt idx="5">
                  <c:v>4352.83</c:v>
                </c:pt>
                <c:pt idx="6">
                  <c:v>1492.81</c:v>
                </c:pt>
                <c:pt idx="7">
                  <c:v>0.32</c:v>
                </c:pt>
                <c:pt idx="8">
                  <c:v>1492.5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D-437E-8F6B-35F83FF67D67}"/>
            </c:ext>
          </c:extLst>
        </c:ser>
        <c:ser>
          <c:idx val="1"/>
          <c:order val="1"/>
          <c:tx>
            <c:strRef>
              <c:f>Quarters!$C$3</c:f>
              <c:strCache>
                <c:ptCount val="1"/>
                <c:pt idx="0">
                  <c:v>Jun-22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Quarters!$A$4:$A$12</c:f>
              <c:strCache>
                <c:ptCount val="9"/>
                <c:pt idx="0">
                  <c:v>Sales</c:v>
                </c:pt>
                <c:pt idx="1">
                  <c:v>Expenses</c:v>
                </c:pt>
                <c:pt idx="2">
                  <c:v>Operating Profit</c:v>
                </c:pt>
                <c:pt idx="3">
                  <c:v>Other Income</c:v>
                </c:pt>
                <c:pt idx="4">
                  <c:v>Depreciation</c:v>
                </c:pt>
                <c:pt idx="5">
                  <c:v>Interest</c:v>
                </c:pt>
                <c:pt idx="6">
                  <c:v>Profit before tax</c:v>
                </c:pt>
                <c:pt idx="7">
                  <c:v>Tax</c:v>
                </c:pt>
                <c:pt idx="8">
                  <c:v>Net profit</c:v>
                </c:pt>
              </c:strCache>
            </c:strRef>
          </c:cat>
          <c:val>
            <c:numRef>
              <c:f>Quarters!$C$4:$C$12</c:f>
              <c:numCache>
                <c:formatCode>_(* #,##0.00_);_(* \(#,##0.00\);_(* "-"??_);_(@_)</c:formatCode>
                <c:ptCount val="9"/>
                <c:pt idx="0">
                  <c:v>5627.44</c:v>
                </c:pt>
                <c:pt idx="1">
                  <c:v>22.74</c:v>
                </c:pt>
                <c:pt idx="2">
                  <c:v>5604.7</c:v>
                </c:pt>
                <c:pt idx="3">
                  <c:v>0.03</c:v>
                </c:pt>
                <c:pt idx="4">
                  <c:v>3.51</c:v>
                </c:pt>
                <c:pt idx="5">
                  <c:v>3939.64</c:v>
                </c:pt>
                <c:pt idx="6">
                  <c:v>1661.58</c:v>
                </c:pt>
                <c:pt idx="7">
                  <c:v>0</c:v>
                </c:pt>
                <c:pt idx="8">
                  <c:v>1661.58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9D-437E-8F6B-35F83FF67D67}"/>
            </c:ext>
          </c:extLst>
        </c:ser>
        <c:ser>
          <c:idx val="2"/>
          <c:order val="2"/>
          <c:tx>
            <c:strRef>
              <c:f>Quarters!$D$3</c:f>
              <c:strCache>
                <c:ptCount val="1"/>
                <c:pt idx="0">
                  <c:v>Sep-22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Quarters!$A$4:$A$12</c:f>
              <c:strCache>
                <c:ptCount val="9"/>
                <c:pt idx="0">
                  <c:v>Sales</c:v>
                </c:pt>
                <c:pt idx="1">
                  <c:v>Expenses</c:v>
                </c:pt>
                <c:pt idx="2">
                  <c:v>Operating Profit</c:v>
                </c:pt>
                <c:pt idx="3">
                  <c:v>Other Income</c:v>
                </c:pt>
                <c:pt idx="4">
                  <c:v>Depreciation</c:v>
                </c:pt>
                <c:pt idx="5">
                  <c:v>Interest</c:v>
                </c:pt>
                <c:pt idx="6">
                  <c:v>Profit before tax</c:v>
                </c:pt>
                <c:pt idx="7">
                  <c:v>Tax</c:v>
                </c:pt>
                <c:pt idx="8">
                  <c:v>Net profit</c:v>
                </c:pt>
              </c:strCache>
            </c:strRef>
          </c:cat>
          <c:val>
            <c:numRef>
              <c:f>Quarters!$D$4:$D$12</c:f>
              <c:numCache>
                <c:formatCode>_(* #,##0.00_);_(* \(#,##0.00\);_(* "-"??_);_(@_)</c:formatCode>
                <c:ptCount val="9"/>
                <c:pt idx="0">
                  <c:v>5809.8</c:v>
                </c:pt>
                <c:pt idx="1">
                  <c:v>34.06</c:v>
                </c:pt>
                <c:pt idx="2">
                  <c:v>5775.74</c:v>
                </c:pt>
                <c:pt idx="3">
                  <c:v>0.59</c:v>
                </c:pt>
                <c:pt idx="4">
                  <c:v>3.51</c:v>
                </c:pt>
                <c:pt idx="5">
                  <c:v>4058.54</c:v>
                </c:pt>
                <c:pt idx="6">
                  <c:v>1714.28</c:v>
                </c:pt>
                <c:pt idx="7">
                  <c:v>0</c:v>
                </c:pt>
                <c:pt idx="8">
                  <c:v>1714.28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9D-437E-8F6B-35F83FF67D67}"/>
            </c:ext>
          </c:extLst>
        </c:ser>
        <c:ser>
          <c:idx val="3"/>
          <c:order val="3"/>
          <c:tx>
            <c:strRef>
              <c:f>Quarters!$E$3</c:f>
              <c:strCache>
                <c:ptCount val="1"/>
                <c:pt idx="0">
                  <c:v>Dec-22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Quarters!$A$4:$A$12</c:f>
              <c:strCache>
                <c:ptCount val="9"/>
                <c:pt idx="0">
                  <c:v>Sales</c:v>
                </c:pt>
                <c:pt idx="1">
                  <c:v>Expenses</c:v>
                </c:pt>
                <c:pt idx="2">
                  <c:v>Operating Profit</c:v>
                </c:pt>
                <c:pt idx="3">
                  <c:v>Other Income</c:v>
                </c:pt>
                <c:pt idx="4">
                  <c:v>Depreciation</c:v>
                </c:pt>
                <c:pt idx="5">
                  <c:v>Interest</c:v>
                </c:pt>
                <c:pt idx="6">
                  <c:v>Profit before tax</c:v>
                </c:pt>
                <c:pt idx="7">
                  <c:v>Tax</c:v>
                </c:pt>
                <c:pt idx="8">
                  <c:v>Net profit</c:v>
                </c:pt>
              </c:strCache>
            </c:strRef>
          </c:cat>
          <c:val>
            <c:numRef>
              <c:f>Quarters!$E$4:$E$12</c:f>
              <c:numCache>
                <c:formatCode>_(* #,##0.00_);_(* \(#,##0.00\);_(* "-"??_);_(@_)</c:formatCode>
                <c:ptCount val="9"/>
                <c:pt idx="0">
                  <c:v>6218.1</c:v>
                </c:pt>
                <c:pt idx="1">
                  <c:v>30.51</c:v>
                </c:pt>
                <c:pt idx="2">
                  <c:v>6187.59</c:v>
                </c:pt>
                <c:pt idx="3">
                  <c:v>3.92</c:v>
                </c:pt>
                <c:pt idx="4">
                  <c:v>3.73</c:v>
                </c:pt>
                <c:pt idx="5">
                  <c:v>4554.33</c:v>
                </c:pt>
                <c:pt idx="6">
                  <c:v>1633.45</c:v>
                </c:pt>
                <c:pt idx="7">
                  <c:v>0</c:v>
                </c:pt>
                <c:pt idx="8">
                  <c:v>1633.45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9D-437E-8F6B-35F83FF67D67}"/>
            </c:ext>
          </c:extLst>
        </c:ser>
        <c:ser>
          <c:idx val="4"/>
          <c:order val="4"/>
          <c:tx>
            <c:strRef>
              <c:f>Quarters!$F$3</c:f>
              <c:strCache>
                <c:ptCount val="1"/>
                <c:pt idx="0">
                  <c:v>Mar-23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Quarters!$A$4:$A$12</c:f>
              <c:strCache>
                <c:ptCount val="9"/>
                <c:pt idx="0">
                  <c:v>Sales</c:v>
                </c:pt>
                <c:pt idx="1">
                  <c:v>Expenses</c:v>
                </c:pt>
                <c:pt idx="2">
                  <c:v>Operating Profit</c:v>
                </c:pt>
                <c:pt idx="3">
                  <c:v>Other Income</c:v>
                </c:pt>
                <c:pt idx="4">
                  <c:v>Depreciation</c:v>
                </c:pt>
                <c:pt idx="5">
                  <c:v>Interest</c:v>
                </c:pt>
                <c:pt idx="6">
                  <c:v>Profit before tax</c:v>
                </c:pt>
                <c:pt idx="7">
                  <c:v>Tax</c:v>
                </c:pt>
                <c:pt idx="8">
                  <c:v>Net profit</c:v>
                </c:pt>
              </c:strCache>
            </c:strRef>
          </c:cat>
          <c:val>
            <c:numRef>
              <c:f>Quarters!$F$4:$F$12</c:f>
              <c:numCache>
                <c:formatCode>_(* #,##0.00_);_(* \(#,##0.00\);_(* "-"??_);_(@_)</c:formatCode>
                <c:ptCount val="9"/>
                <c:pt idx="0">
                  <c:v>6194.02</c:v>
                </c:pt>
                <c:pt idx="1">
                  <c:v>47.01</c:v>
                </c:pt>
                <c:pt idx="2">
                  <c:v>6147.01</c:v>
                </c:pt>
                <c:pt idx="3">
                  <c:v>36.25</c:v>
                </c:pt>
                <c:pt idx="4">
                  <c:v>3.32</c:v>
                </c:pt>
                <c:pt idx="5">
                  <c:v>4894.7</c:v>
                </c:pt>
                <c:pt idx="6">
                  <c:v>1285.24</c:v>
                </c:pt>
                <c:pt idx="7">
                  <c:v>0</c:v>
                </c:pt>
                <c:pt idx="8">
                  <c:v>1285.24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9D-437E-8F6B-35F83FF67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9443792"/>
        <c:axId val="829445232"/>
      </c:barChart>
      <c:lineChart>
        <c:grouping val="standard"/>
        <c:varyColors val="0"/>
        <c:ser>
          <c:idx val="5"/>
          <c:order val="5"/>
          <c:tx>
            <c:strRef>
              <c:f>Quarters!$G$3</c:f>
              <c:strCache>
                <c:ptCount val="1"/>
                <c:pt idx="0">
                  <c:v>Jun-23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Quarters!$A$4:$A$12</c:f>
              <c:strCache>
                <c:ptCount val="9"/>
                <c:pt idx="0">
                  <c:v>Sales</c:v>
                </c:pt>
                <c:pt idx="1">
                  <c:v>Expenses</c:v>
                </c:pt>
                <c:pt idx="2">
                  <c:v>Operating Profit</c:v>
                </c:pt>
                <c:pt idx="3">
                  <c:v>Other Income</c:v>
                </c:pt>
                <c:pt idx="4">
                  <c:v>Depreciation</c:v>
                </c:pt>
                <c:pt idx="5">
                  <c:v>Interest</c:v>
                </c:pt>
                <c:pt idx="6">
                  <c:v>Profit before tax</c:v>
                </c:pt>
                <c:pt idx="7">
                  <c:v>Tax</c:v>
                </c:pt>
                <c:pt idx="8">
                  <c:v>Net profit</c:v>
                </c:pt>
              </c:strCache>
            </c:strRef>
          </c:cat>
          <c:val>
            <c:numRef>
              <c:f>Quarters!$G$4:$G$12</c:f>
              <c:numCache>
                <c:formatCode>_(* #,##0.00_);_(* \(#,##0.00\);_(* "-"??_);_(@_)</c:formatCode>
                <c:ptCount val="9"/>
                <c:pt idx="0">
                  <c:v>6679.17</c:v>
                </c:pt>
                <c:pt idx="1">
                  <c:v>29.26</c:v>
                </c:pt>
                <c:pt idx="2">
                  <c:v>6649.91</c:v>
                </c:pt>
                <c:pt idx="3">
                  <c:v>1.86</c:v>
                </c:pt>
                <c:pt idx="4">
                  <c:v>4.2300000000000004</c:v>
                </c:pt>
                <c:pt idx="5">
                  <c:v>5090.97</c:v>
                </c:pt>
                <c:pt idx="6">
                  <c:v>1556.57</c:v>
                </c:pt>
                <c:pt idx="7">
                  <c:v>0</c:v>
                </c:pt>
                <c:pt idx="8">
                  <c:v>1556.57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9D-437E-8F6B-35F83FF67D67}"/>
            </c:ext>
          </c:extLst>
        </c:ser>
        <c:ser>
          <c:idx val="6"/>
          <c:order val="6"/>
          <c:tx>
            <c:strRef>
              <c:f>Quarters!$H$3</c:f>
              <c:strCache>
                <c:ptCount val="1"/>
                <c:pt idx="0">
                  <c:v>Sep-23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Quarters!$A$4:$A$12</c:f>
              <c:strCache>
                <c:ptCount val="9"/>
                <c:pt idx="0">
                  <c:v>Sales</c:v>
                </c:pt>
                <c:pt idx="1">
                  <c:v>Expenses</c:v>
                </c:pt>
                <c:pt idx="2">
                  <c:v>Operating Profit</c:v>
                </c:pt>
                <c:pt idx="3">
                  <c:v>Other Income</c:v>
                </c:pt>
                <c:pt idx="4">
                  <c:v>Depreciation</c:v>
                </c:pt>
                <c:pt idx="5">
                  <c:v>Interest</c:v>
                </c:pt>
                <c:pt idx="6">
                  <c:v>Profit before tax</c:v>
                </c:pt>
                <c:pt idx="7">
                  <c:v>Tax</c:v>
                </c:pt>
                <c:pt idx="8">
                  <c:v>Net profit</c:v>
                </c:pt>
              </c:strCache>
            </c:strRef>
          </c:cat>
          <c:val>
            <c:numRef>
              <c:f>Quarters!$H$4:$H$12</c:f>
              <c:numCache>
                <c:formatCode>_(* #,##0.00_);_(* \(#,##0.00\);_(* "-"??_);_(@_)</c:formatCode>
                <c:ptCount val="9"/>
                <c:pt idx="0">
                  <c:v>6766.63</c:v>
                </c:pt>
                <c:pt idx="1">
                  <c:v>33.97</c:v>
                </c:pt>
                <c:pt idx="2">
                  <c:v>6732.66</c:v>
                </c:pt>
                <c:pt idx="3">
                  <c:v>0.85</c:v>
                </c:pt>
                <c:pt idx="4">
                  <c:v>2.15</c:v>
                </c:pt>
                <c:pt idx="5">
                  <c:v>5181.49</c:v>
                </c:pt>
                <c:pt idx="6">
                  <c:v>1549.87</c:v>
                </c:pt>
                <c:pt idx="7">
                  <c:v>0</c:v>
                </c:pt>
                <c:pt idx="8">
                  <c:v>1549.87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9D-437E-8F6B-35F83FF67D67}"/>
            </c:ext>
          </c:extLst>
        </c:ser>
        <c:ser>
          <c:idx val="7"/>
          <c:order val="7"/>
          <c:tx>
            <c:strRef>
              <c:f>Quarters!$I$3</c:f>
              <c:strCache>
                <c:ptCount val="1"/>
                <c:pt idx="0">
                  <c:v>Dec-23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Quarters!$A$4:$A$12</c:f>
              <c:strCache>
                <c:ptCount val="9"/>
                <c:pt idx="0">
                  <c:v>Sales</c:v>
                </c:pt>
                <c:pt idx="1">
                  <c:v>Expenses</c:v>
                </c:pt>
                <c:pt idx="2">
                  <c:v>Operating Profit</c:v>
                </c:pt>
                <c:pt idx="3">
                  <c:v>Other Income</c:v>
                </c:pt>
                <c:pt idx="4">
                  <c:v>Depreciation</c:v>
                </c:pt>
                <c:pt idx="5">
                  <c:v>Interest</c:v>
                </c:pt>
                <c:pt idx="6">
                  <c:v>Profit before tax</c:v>
                </c:pt>
                <c:pt idx="7">
                  <c:v>Tax</c:v>
                </c:pt>
                <c:pt idx="8">
                  <c:v>Net profit</c:v>
                </c:pt>
              </c:strCache>
            </c:strRef>
          </c:cat>
          <c:val>
            <c:numRef>
              <c:f>Quarters!$I$4:$I$12</c:f>
              <c:numCache>
                <c:formatCode>_(* #,##0.00_);_(* \(#,##0.00\);_(* "-"??_);_(@_)</c:formatCode>
                <c:ptCount val="9"/>
                <c:pt idx="0">
                  <c:v>6736.6</c:v>
                </c:pt>
                <c:pt idx="1">
                  <c:v>35.47</c:v>
                </c:pt>
                <c:pt idx="2">
                  <c:v>6701.13</c:v>
                </c:pt>
                <c:pt idx="3">
                  <c:v>3.42</c:v>
                </c:pt>
                <c:pt idx="4">
                  <c:v>1.33</c:v>
                </c:pt>
                <c:pt idx="5">
                  <c:v>5104.29</c:v>
                </c:pt>
                <c:pt idx="6">
                  <c:v>1598.93</c:v>
                </c:pt>
                <c:pt idx="7">
                  <c:v>0</c:v>
                </c:pt>
                <c:pt idx="8">
                  <c:v>1598.93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49D-437E-8F6B-35F83FF67D67}"/>
            </c:ext>
          </c:extLst>
        </c:ser>
        <c:ser>
          <c:idx val="8"/>
          <c:order val="8"/>
          <c:tx>
            <c:strRef>
              <c:f>Quarters!$J$3</c:f>
              <c:strCache>
                <c:ptCount val="1"/>
                <c:pt idx="0">
                  <c:v>Mar-24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Quarters!$A$4:$A$12</c:f>
              <c:strCache>
                <c:ptCount val="9"/>
                <c:pt idx="0">
                  <c:v>Sales</c:v>
                </c:pt>
                <c:pt idx="1">
                  <c:v>Expenses</c:v>
                </c:pt>
                <c:pt idx="2">
                  <c:v>Operating Profit</c:v>
                </c:pt>
                <c:pt idx="3">
                  <c:v>Other Income</c:v>
                </c:pt>
                <c:pt idx="4">
                  <c:v>Depreciation</c:v>
                </c:pt>
                <c:pt idx="5">
                  <c:v>Interest</c:v>
                </c:pt>
                <c:pt idx="6">
                  <c:v>Profit before tax</c:v>
                </c:pt>
                <c:pt idx="7">
                  <c:v>Tax</c:v>
                </c:pt>
                <c:pt idx="8">
                  <c:v>Net profit</c:v>
                </c:pt>
              </c:strCache>
            </c:strRef>
          </c:cat>
          <c:val>
            <c:numRef>
              <c:f>Quarters!$J$4:$J$12</c:f>
              <c:numCache>
                <c:formatCode>_(* #,##0.00_);_(* \(#,##0.00\);_(* "-"??_);_(@_)</c:formatCode>
                <c:ptCount val="9"/>
                <c:pt idx="0">
                  <c:v>6473.56</c:v>
                </c:pt>
                <c:pt idx="1">
                  <c:v>34.22</c:v>
                </c:pt>
                <c:pt idx="2">
                  <c:v>6439.34</c:v>
                </c:pt>
                <c:pt idx="3">
                  <c:v>4.43</c:v>
                </c:pt>
                <c:pt idx="4">
                  <c:v>1.73</c:v>
                </c:pt>
                <c:pt idx="5">
                  <c:v>4724.72</c:v>
                </c:pt>
                <c:pt idx="6">
                  <c:v>1717.32</c:v>
                </c:pt>
                <c:pt idx="7">
                  <c:v>0</c:v>
                </c:pt>
                <c:pt idx="8">
                  <c:v>1717.32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49D-437E-8F6B-35F83FF67D67}"/>
            </c:ext>
          </c:extLst>
        </c:ser>
        <c:ser>
          <c:idx val="9"/>
          <c:order val="9"/>
          <c:tx>
            <c:strRef>
              <c:f>Quarters!$K$3</c:f>
              <c:strCache>
                <c:ptCount val="1"/>
                <c:pt idx="0">
                  <c:v>Jun-24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Quarters!$A$4:$A$12</c:f>
              <c:strCache>
                <c:ptCount val="9"/>
                <c:pt idx="0">
                  <c:v>Sales</c:v>
                </c:pt>
                <c:pt idx="1">
                  <c:v>Expenses</c:v>
                </c:pt>
                <c:pt idx="2">
                  <c:v>Operating Profit</c:v>
                </c:pt>
                <c:pt idx="3">
                  <c:v>Other Income</c:v>
                </c:pt>
                <c:pt idx="4">
                  <c:v>Depreciation</c:v>
                </c:pt>
                <c:pt idx="5">
                  <c:v>Interest</c:v>
                </c:pt>
                <c:pt idx="6">
                  <c:v>Profit before tax</c:v>
                </c:pt>
                <c:pt idx="7">
                  <c:v>Tax</c:v>
                </c:pt>
                <c:pt idx="8">
                  <c:v>Net profit</c:v>
                </c:pt>
              </c:strCache>
            </c:strRef>
          </c:cat>
          <c:val>
            <c:numRef>
              <c:f>Quarters!$K$4:$K$12</c:f>
              <c:numCache>
                <c:formatCode>_(* #,##0.00_);_(* \(#,##0.00\);_(* "-"??_);_(@_)</c:formatCode>
                <c:ptCount val="9"/>
                <c:pt idx="0">
                  <c:v>6765.63</c:v>
                </c:pt>
                <c:pt idx="1">
                  <c:v>32.69</c:v>
                </c:pt>
                <c:pt idx="2">
                  <c:v>6732.94</c:v>
                </c:pt>
                <c:pt idx="3">
                  <c:v>0.39</c:v>
                </c:pt>
                <c:pt idx="4">
                  <c:v>1.59</c:v>
                </c:pt>
                <c:pt idx="5">
                  <c:v>5154.91</c:v>
                </c:pt>
                <c:pt idx="6">
                  <c:v>1576.83</c:v>
                </c:pt>
                <c:pt idx="7">
                  <c:v>0</c:v>
                </c:pt>
                <c:pt idx="8">
                  <c:v>1576.83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49D-437E-8F6B-35F83FF67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443792"/>
        <c:axId val="829445232"/>
      </c:lineChart>
      <c:catAx>
        <c:axId val="82944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445232"/>
        <c:crosses val="autoZero"/>
        <c:auto val="1"/>
        <c:lblAlgn val="ctr"/>
        <c:lblOffset val="100"/>
        <c:noMultiLvlLbl val="0"/>
      </c:catAx>
      <c:valAx>
        <c:axId val="82944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44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'Cash Flow'!$A$4</c:f>
              <c:strCache>
                <c:ptCount val="1"/>
                <c:pt idx="0">
                  <c:v>Cash from Operating Activity</c:v>
                </c:pt>
              </c:strCache>
            </c:strRef>
          </c:tx>
          <c:invertIfNegative val="0"/>
          <c:cat>
            <c:numRef>
              <c:f>'Cash Flow'!$B$3:$K$3</c:f>
              <c:numCache>
                <c:formatCode>[$-409]mmm\-yy;@</c:formatCode>
                <c:ptCount val="10"/>
                <c:pt idx="0">
                  <c:v>42094</c:v>
                </c:pt>
                <c:pt idx="1">
                  <c:v>42460</c:v>
                </c:pt>
                <c:pt idx="2">
                  <c:v>42825</c:v>
                </c:pt>
                <c:pt idx="3">
                  <c:v>43190</c:v>
                </c:pt>
                <c:pt idx="4">
                  <c:v>43555</c:v>
                </c:pt>
                <c:pt idx="5">
                  <c:v>43921</c:v>
                </c:pt>
                <c:pt idx="6">
                  <c:v>44286</c:v>
                </c:pt>
                <c:pt idx="7">
                  <c:v>44651</c:v>
                </c:pt>
                <c:pt idx="8">
                  <c:v>45016</c:v>
                </c:pt>
                <c:pt idx="9">
                  <c:v>45382</c:v>
                </c:pt>
              </c:numCache>
            </c:numRef>
          </c:cat>
          <c:val>
            <c:numRef>
              <c:f>'Cash Flow'!$B$4:$K$4</c:f>
              <c:numCache>
                <c:formatCode>_(* #,##0.00_);_(* \(#,##0.00\);_(* "-"??_);_(@_)</c:formatCode>
                <c:ptCount val="10"/>
                <c:pt idx="0">
                  <c:v>0</c:v>
                </c:pt>
                <c:pt idx="1">
                  <c:v>-16377.5</c:v>
                </c:pt>
                <c:pt idx="2">
                  <c:v>-19455.18</c:v>
                </c:pt>
                <c:pt idx="3">
                  <c:v>-28076.12</c:v>
                </c:pt>
                <c:pt idx="4">
                  <c:v>-41748.19</c:v>
                </c:pt>
                <c:pt idx="5">
                  <c:v>-62700.61</c:v>
                </c:pt>
                <c:pt idx="6">
                  <c:v>-89906.65</c:v>
                </c:pt>
                <c:pt idx="7">
                  <c:v>-64412.28</c:v>
                </c:pt>
                <c:pt idx="8">
                  <c:v>-28588.36</c:v>
                </c:pt>
                <c:pt idx="9">
                  <c:v>7914.1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A-4DD1-959E-48ECDF89FF94}"/>
            </c:ext>
          </c:extLst>
        </c:ser>
        <c:ser>
          <c:idx val="1"/>
          <c:order val="1"/>
          <c:tx>
            <c:strRef>
              <c:f>'Cash Flow'!$A$5</c:f>
              <c:strCache>
                <c:ptCount val="1"/>
                <c:pt idx="0">
                  <c:v>Cash from Investing Activity</c:v>
                </c:pt>
              </c:strCache>
            </c:strRef>
          </c:tx>
          <c:invertIfNegative val="0"/>
          <c:cat>
            <c:numRef>
              <c:f>'Cash Flow'!$B$3:$K$3</c:f>
              <c:numCache>
                <c:formatCode>[$-409]mmm\-yy;@</c:formatCode>
                <c:ptCount val="10"/>
                <c:pt idx="0">
                  <c:v>42094</c:v>
                </c:pt>
                <c:pt idx="1">
                  <c:v>42460</c:v>
                </c:pt>
                <c:pt idx="2">
                  <c:v>42825</c:v>
                </c:pt>
                <c:pt idx="3">
                  <c:v>43190</c:v>
                </c:pt>
                <c:pt idx="4">
                  <c:v>43555</c:v>
                </c:pt>
                <c:pt idx="5">
                  <c:v>43921</c:v>
                </c:pt>
                <c:pt idx="6">
                  <c:v>44286</c:v>
                </c:pt>
                <c:pt idx="7">
                  <c:v>44651</c:v>
                </c:pt>
                <c:pt idx="8">
                  <c:v>45016</c:v>
                </c:pt>
                <c:pt idx="9">
                  <c:v>45382</c:v>
                </c:pt>
              </c:numCache>
            </c:numRef>
          </c:cat>
          <c:val>
            <c:numRef>
              <c:f>'Cash Flow'!$B$5:$K$5</c:f>
              <c:numCache>
                <c:formatCode>_(* #,##0.00_);_(* \(#,##0.00\);_(* "-"??_);_(@_)</c:formatCode>
                <c:ptCount val="10"/>
                <c:pt idx="0">
                  <c:v>0</c:v>
                </c:pt>
                <c:pt idx="1">
                  <c:v>1.94</c:v>
                </c:pt>
                <c:pt idx="2">
                  <c:v>1.79</c:v>
                </c:pt>
                <c:pt idx="3">
                  <c:v>1.67</c:v>
                </c:pt>
                <c:pt idx="4">
                  <c:v>1.31</c:v>
                </c:pt>
                <c:pt idx="5">
                  <c:v>1.47</c:v>
                </c:pt>
                <c:pt idx="6">
                  <c:v>0.42</c:v>
                </c:pt>
                <c:pt idx="7">
                  <c:v>-4.72</c:v>
                </c:pt>
                <c:pt idx="8">
                  <c:v>0.09</c:v>
                </c:pt>
                <c:pt idx="9">
                  <c:v>-7.54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A-4DD1-959E-48ECDF89FF94}"/>
            </c:ext>
          </c:extLst>
        </c:ser>
        <c:ser>
          <c:idx val="2"/>
          <c:order val="2"/>
          <c:tx>
            <c:strRef>
              <c:f>'Cash Flow'!$A$6</c:f>
              <c:strCache>
                <c:ptCount val="1"/>
                <c:pt idx="0">
                  <c:v>Cash from Financing Activity</c:v>
                </c:pt>
              </c:strCache>
            </c:strRef>
          </c:tx>
          <c:invertIfNegative val="0"/>
          <c:cat>
            <c:numRef>
              <c:f>'Cash Flow'!$B$3:$K$3</c:f>
              <c:numCache>
                <c:formatCode>[$-409]mmm\-yy;@</c:formatCode>
                <c:ptCount val="10"/>
                <c:pt idx="0">
                  <c:v>42094</c:v>
                </c:pt>
                <c:pt idx="1">
                  <c:v>42460</c:v>
                </c:pt>
                <c:pt idx="2">
                  <c:v>42825</c:v>
                </c:pt>
                <c:pt idx="3">
                  <c:v>43190</c:v>
                </c:pt>
                <c:pt idx="4">
                  <c:v>43555</c:v>
                </c:pt>
                <c:pt idx="5">
                  <c:v>43921</c:v>
                </c:pt>
                <c:pt idx="6">
                  <c:v>44286</c:v>
                </c:pt>
                <c:pt idx="7">
                  <c:v>44651</c:v>
                </c:pt>
                <c:pt idx="8">
                  <c:v>45016</c:v>
                </c:pt>
                <c:pt idx="9">
                  <c:v>45382</c:v>
                </c:pt>
              </c:numCache>
            </c:numRef>
          </c:cat>
          <c:val>
            <c:numRef>
              <c:f>'Cash Flow'!$B$6:$K$6</c:f>
              <c:numCache>
                <c:formatCode>_(* #,##0.00_);_(* \(#,##0.00\);_(* "-"??_);_(@_)</c:formatCode>
                <c:ptCount val="10"/>
                <c:pt idx="0">
                  <c:v>0</c:v>
                </c:pt>
                <c:pt idx="1">
                  <c:v>17581.7</c:v>
                </c:pt>
                <c:pt idx="2">
                  <c:v>18249.71</c:v>
                </c:pt>
                <c:pt idx="3">
                  <c:v>28074.63</c:v>
                </c:pt>
                <c:pt idx="4">
                  <c:v>41749.449999999997</c:v>
                </c:pt>
                <c:pt idx="5">
                  <c:v>62696.81</c:v>
                </c:pt>
                <c:pt idx="6">
                  <c:v>90202.04</c:v>
                </c:pt>
                <c:pt idx="7">
                  <c:v>64266.3</c:v>
                </c:pt>
                <c:pt idx="8">
                  <c:v>28644.48</c:v>
                </c:pt>
                <c:pt idx="9">
                  <c:v>-8046.42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A-4DD1-959E-48ECDF89F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248192"/>
        <c:axId val="144307328"/>
      </c:barChart>
      <c:dateAx>
        <c:axId val="144248192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crossAx val="144307328"/>
        <c:crosses val="autoZero"/>
        <c:auto val="1"/>
        <c:lblOffset val="100"/>
        <c:baseTimeUnit val="years"/>
      </c:dateAx>
      <c:valAx>
        <c:axId val="144307328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144248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664324701179147"/>
          <c:y val="7.4180746058755659E-2"/>
          <c:w val="0.62149961826209699"/>
          <c:h val="0.752108145401546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Sheet'!$A$42</c:f>
              <c:strCache>
                <c:ptCount val="1"/>
                <c:pt idx="0">
                  <c:v> Sales </c:v>
                </c:pt>
              </c:strCache>
            </c:strRef>
          </c:tx>
          <c:invertIfNegative val="0"/>
          <c:cat>
            <c:strRef>
              <c:f>'Data Sheet'!$B$40:$K$41</c:f>
              <c:strCache>
                <c:ptCount val="10"/>
                <c:pt idx="0">
                  <c:v>Mar-22</c:v>
                </c:pt>
                <c:pt idx="1">
                  <c:v>Jun-22</c:v>
                </c:pt>
                <c:pt idx="2">
                  <c:v>Sep-22</c:v>
                </c:pt>
                <c:pt idx="3">
                  <c:v>Dec-22</c:v>
                </c:pt>
                <c:pt idx="4">
                  <c:v>Mar-23</c:v>
                </c:pt>
                <c:pt idx="5">
                  <c:v>Jun-23</c:v>
                </c:pt>
                <c:pt idx="6">
                  <c:v>Sep-23</c:v>
                </c:pt>
                <c:pt idx="7">
                  <c:v>Dec-23</c:v>
                </c:pt>
                <c:pt idx="8">
                  <c:v>Mar-24</c:v>
                </c:pt>
                <c:pt idx="9">
                  <c:v>Jun-24</c:v>
                </c:pt>
              </c:strCache>
            </c:strRef>
          </c:cat>
          <c:val>
            <c:numRef>
              <c:f>'Data Sheet'!$B$42:$K$42</c:f>
              <c:numCache>
                <c:formatCode>General</c:formatCode>
                <c:ptCount val="10"/>
                <c:pt idx="0">
                  <c:v>5931.72</c:v>
                </c:pt>
                <c:pt idx="1">
                  <c:v>5627.44</c:v>
                </c:pt>
                <c:pt idx="2">
                  <c:v>5809.8</c:v>
                </c:pt>
                <c:pt idx="3">
                  <c:v>6218.1</c:v>
                </c:pt>
                <c:pt idx="4">
                  <c:v>6194.02</c:v>
                </c:pt>
                <c:pt idx="5">
                  <c:v>6679.17</c:v>
                </c:pt>
                <c:pt idx="6">
                  <c:v>6766.63</c:v>
                </c:pt>
                <c:pt idx="7">
                  <c:v>6736.6</c:v>
                </c:pt>
                <c:pt idx="8">
                  <c:v>6473.56</c:v>
                </c:pt>
                <c:pt idx="9">
                  <c:v>6765.63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C-49C0-8102-AD75F999D3EE}"/>
            </c:ext>
          </c:extLst>
        </c:ser>
        <c:ser>
          <c:idx val="1"/>
          <c:order val="1"/>
          <c:tx>
            <c:strRef>
              <c:f>'Data Sheet'!$A$43</c:f>
              <c:strCache>
                <c:ptCount val="1"/>
                <c:pt idx="0">
                  <c:v> Expenses </c:v>
                </c:pt>
              </c:strCache>
            </c:strRef>
          </c:tx>
          <c:invertIfNegative val="0"/>
          <c:cat>
            <c:strRef>
              <c:f>'Data Sheet'!$B$40:$K$41</c:f>
              <c:strCache>
                <c:ptCount val="10"/>
                <c:pt idx="0">
                  <c:v>Mar-22</c:v>
                </c:pt>
                <c:pt idx="1">
                  <c:v>Jun-22</c:v>
                </c:pt>
                <c:pt idx="2">
                  <c:v>Sep-22</c:v>
                </c:pt>
                <c:pt idx="3">
                  <c:v>Dec-22</c:v>
                </c:pt>
                <c:pt idx="4">
                  <c:v>Mar-23</c:v>
                </c:pt>
                <c:pt idx="5">
                  <c:v>Jun-23</c:v>
                </c:pt>
                <c:pt idx="6">
                  <c:v>Sep-23</c:v>
                </c:pt>
                <c:pt idx="7">
                  <c:v>Dec-23</c:v>
                </c:pt>
                <c:pt idx="8">
                  <c:v>Mar-24</c:v>
                </c:pt>
                <c:pt idx="9">
                  <c:v>Jun-24</c:v>
                </c:pt>
              </c:strCache>
            </c:strRef>
          </c:cat>
          <c:val>
            <c:numRef>
              <c:f>'Data Sheet'!$B$43:$K$43</c:f>
              <c:numCache>
                <c:formatCode>General</c:formatCode>
                <c:ptCount val="10"/>
                <c:pt idx="0">
                  <c:v>82.44</c:v>
                </c:pt>
                <c:pt idx="1">
                  <c:v>22.74</c:v>
                </c:pt>
                <c:pt idx="2">
                  <c:v>34.06</c:v>
                </c:pt>
                <c:pt idx="3">
                  <c:v>30.51</c:v>
                </c:pt>
                <c:pt idx="4">
                  <c:v>47.01</c:v>
                </c:pt>
                <c:pt idx="5">
                  <c:v>29.26</c:v>
                </c:pt>
                <c:pt idx="6">
                  <c:v>33.97</c:v>
                </c:pt>
                <c:pt idx="7">
                  <c:v>35.47</c:v>
                </c:pt>
                <c:pt idx="8">
                  <c:v>34.22</c:v>
                </c:pt>
                <c:pt idx="9">
                  <c:v>32.69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CC-49C0-8102-AD75F999D3EE}"/>
            </c:ext>
          </c:extLst>
        </c:ser>
        <c:ser>
          <c:idx val="2"/>
          <c:order val="2"/>
          <c:tx>
            <c:strRef>
              <c:f>'Data Sheet'!$A$44</c:f>
              <c:strCache>
                <c:ptCount val="1"/>
                <c:pt idx="0">
                  <c:v> Other Income </c:v>
                </c:pt>
              </c:strCache>
            </c:strRef>
          </c:tx>
          <c:invertIfNegative val="0"/>
          <c:cat>
            <c:strRef>
              <c:f>'Data Sheet'!$B$40:$K$41</c:f>
              <c:strCache>
                <c:ptCount val="10"/>
                <c:pt idx="0">
                  <c:v>Mar-22</c:v>
                </c:pt>
                <c:pt idx="1">
                  <c:v>Jun-22</c:v>
                </c:pt>
                <c:pt idx="2">
                  <c:v>Sep-22</c:v>
                </c:pt>
                <c:pt idx="3">
                  <c:v>Dec-22</c:v>
                </c:pt>
                <c:pt idx="4">
                  <c:v>Mar-23</c:v>
                </c:pt>
                <c:pt idx="5">
                  <c:v>Jun-23</c:v>
                </c:pt>
                <c:pt idx="6">
                  <c:v>Sep-23</c:v>
                </c:pt>
                <c:pt idx="7">
                  <c:v>Dec-23</c:v>
                </c:pt>
                <c:pt idx="8">
                  <c:v>Mar-24</c:v>
                </c:pt>
                <c:pt idx="9">
                  <c:v>Jun-24</c:v>
                </c:pt>
              </c:strCache>
            </c:strRef>
          </c:cat>
          <c:val>
            <c:numRef>
              <c:f>'Data Sheet'!$B$44:$K$44</c:f>
              <c:numCache>
                <c:formatCode>General</c:formatCode>
                <c:ptCount val="10"/>
                <c:pt idx="0">
                  <c:v>1.08</c:v>
                </c:pt>
                <c:pt idx="1">
                  <c:v>0.03</c:v>
                </c:pt>
                <c:pt idx="2">
                  <c:v>0.59</c:v>
                </c:pt>
                <c:pt idx="3">
                  <c:v>3.92</c:v>
                </c:pt>
                <c:pt idx="4">
                  <c:v>36.25</c:v>
                </c:pt>
                <c:pt idx="5">
                  <c:v>1.86</c:v>
                </c:pt>
                <c:pt idx="6">
                  <c:v>0.85</c:v>
                </c:pt>
                <c:pt idx="7">
                  <c:v>3.42</c:v>
                </c:pt>
                <c:pt idx="8">
                  <c:v>4.43</c:v>
                </c:pt>
                <c:pt idx="9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CC-49C0-8102-AD75F999D3EE}"/>
            </c:ext>
          </c:extLst>
        </c:ser>
        <c:ser>
          <c:idx val="3"/>
          <c:order val="3"/>
          <c:tx>
            <c:strRef>
              <c:f>'Data Sheet'!$A$45</c:f>
              <c:strCache>
                <c:ptCount val="1"/>
                <c:pt idx="0">
                  <c:v> Depreciation </c:v>
                </c:pt>
              </c:strCache>
            </c:strRef>
          </c:tx>
          <c:invertIfNegative val="0"/>
          <c:cat>
            <c:strRef>
              <c:f>'Data Sheet'!$B$40:$K$41</c:f>
              <c:strCache>
                <c:ptCount val="10"/>
                <c:pt idx="0">
                  <c:v>Mar-22</c:v>
                </c:pt>
                <c:pt idx="1">
                  <c:v>Jun-22</c:v>
                </c:pt>
                <c:pt idx="2">
                  <c:v>Sep-22</c:v>
                </c:pt>
                <c:pt idx="3">
                  <c:v>Dec-22</c:v>
                </c:pt>
                <c:pt idx="4">
                  <c:v>Mar-23</c:v>
                </c:pt>
                <c:pt idx="5">
                  <c:v>Jun-23</c:v>
                </c:pt>
                <c:pt idx="6">
                  <c:v>Sep-23</c:v>
                </c:pt>
                <c:pt idx="7">
                  <c:v>Dec-23</c:v>
                </c:pt>
                <c:pt idx="8">
                  <c:v>Mar-24</c:v>
                </c:pt>
                <c:pt idx="9">
                  <c:v>Jun-24</c:v>
                </c:pt>
              </c:strCache>
            </c:strRef>
          </c:cat>
          <c:val>
            <c:numRef>
              <c:f>'Data Sheet'!$B$45:$K$45</c:f>
              <c:numCache>
                <c:formatCode>General</c:formatCode>
                <c:ptCount val="10"/>
                <c:pt idx="0">
                  <c:v>4.72</c:v>
                </c:pt>
                <c:pt idx="1">
                  <c:v>3.51</c:v>
                </c:pt>
                <c:pt idx="2">
                  <c:v>3.51</c:v>
                </c:pt>
                <c:pt idx="3">
                  <c:v>3.73</c:v>
                </c:pt>
                <c:pt idx="4">
                  <c:v>3.32</c:v>
                </c:pt>
                <c:pt idx="5">
                  <c:v>4.2300000000000004</c:v>
                </c:pt>
                <c:pt idx="6">
                  <c:v>2.15</c:v>
                </c:pt>
                <c:pt idx="7">
                  <c:v>1.33</c:v>
                </c:pt>
                <c:pt idx="8">
                  <c:v>1.73</c:v>
                </c:pt>
                <c:pt idx="9">
                  <c:v>1.59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CC-49C0-8102-AD75F999D3EE}"/>
            </c:ext>
          </c:extLst>
        </c:ser>
        <c:ser>
          <c:idx val="4"/>
          <c:order val="4"/>
          <c:tx>
            <c:strRef>
              <c:f>'Data Sheet'!$A$46</c:f>
              <c:strCache>
                <c:ptCount val="1"/>
                <c:pt idx="0">
                  <c:v> Interest </c:v>
                </c:pt>
              </c:strCache>
            </c:strRef>
          </c:tx>
          <c:invertIfNegative val="0"/>
          <c:cat>
            <c:strRef>
              <c:f>'Data Sheet'!$B$40:$K$41</c:f>
              <c:strCache>
                <c:ptCount val="10"/>
                <c:pt idx="0">
                  <c:v>Mar-22</c:v>
                </c:pt>
                <c:pt idx="1">
                  <c:v>Jun-22</c:v>
                </c:pt>
                <c:pt idx="2">
                  <c:v>Sep-22</c:v>
                </c:pt>
                <c:pt idx="3">
                  <c:v>Dec-22</c:v>
                </c:pt>
                <c:pt idx="4">
                  <c:v>Mar-23</c:v>
                </c:pt>
                <c:pt idx="5">
                  <c:v>Jun-23</c:v>
                </c:pt>
                <c:pt idx="6">
                  <c:v>Sep-23</c:v>
                </c:pt>
                <c:pt idx="7">
                  <c:v>Dec-23</c:v>
                </c:pt>
                <c:pt idx="8">
                  <c:v>Mar-24</c:v>
                </c:pt>
                <c:pt idx="9">
                  <c:v>Jun-24</c:v>
                </c:pt>
              </c:strCache>
            </c:strRef>
          </c:cat>
          <c:val>
            <c:numRef>
              <c:f>'Data Sheet'!$B$46:$K$46</c:f>
              <c:numCache>
                <c:formatCode>General</c:formatCode>
                <c:ptCount val="10"/>
                <c:pt idx="0">
                  <c:v>4352.83</c:v>
                </c:pt>
                <c:pt idx="1">
                  <c:v>3939.64</c:v>
                </c:pt>
                <c:pt idx="2">
                  <c:v>4058.54</c:v>
                </c:pt>
                <c:pt idx="3">
                  <c:v>4554.33</c:v>
                </c:pt>
                <c:pt idx="4">
                  <c:v>4894.7</c:v>
                </c:pt>
                <c:pt idx="5">
                  <c:v>5090.97</c:v>
                </c:pt>
                <c:pt idx="6">
                  <c:v>5181.49</c:v>
                </c:pt>
                <c:pt idx="7">
                  <c:v>5104.29</c:v>
                </c:pt>
                <c:pt idx="8">
                  <c:v>4724.72</c:v>
                </c:pt>
                <c:pt idx="9">
                  <c:v>5154.91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CC-49C0-8102-AD75F999D3EE}"/>
            </c:ext>
          </c:extLst>
        </c:ser>
        <c:ser>
          <c:idx val="5"/>
          <c:order val="5"/>
          <c:tx>
            <c:strRef>
              <c:f>'Data Sheet'!$A$47</c:f>
              <c:strCache>
                <c:ptCount val="1"/>
                <c:pt idx="0">
                  <c:v> Profit before tax </c:v>
                </c:pt>
              </c:strCache>
            </c:strRef>
          </c:tx>
          <c:invertIfNegative val="0"/>
          <c:cat>
            <c:strRef>
              <c:f>'Data Sheet'!$B$40:$K$41</c:f>
              <c:strCache>
                <c:ptCount val="10"/>
                <c:pt idx="0">
                  <c:v>Mar-22</c:v>
                </c:pt>
                <c:pt idx="1">
                  <c:v>Jun-22</c:v>
                </c:pt>
                <c:pt idx="2">
                  <c:v>Sep-22</c:v>
                </c:pt>
                <c:pt idx="3">
                  <c:v>Dec-22</c:v>
                </c:pt>
                <c:pt idx="4">
                  <c:v>Mar-23</c:v>
                </c:pt>
                <c:pt idx="5">
                  <c:v>Jun-23</c:v>
                </c:pt>
                <c:pt idx="6">
                  <c:v>Sep-23</c:v>
                </c:pt>
                <c:pt idx="7">
                  <c:v>Dec-23</c:v>
                </c:pt>
                <c:pt idx="8">
                  <c:v>Mar-24</c:v>
                </c:pt>
                <c:pt idx="9">
                  <c:v>Jun-24</c:v>
                </c:pt>
              </c:strCache>
            </c:strRef>
          </c:cat>
          <c:val>
            <c:numRef>
              <c:f>'Data Sheet'!$B$47:$K$47</c:f>
              <c:numCache>
                <c:formatCode>General</c:formatCode>
                <c:ptCount val="10"/>
                <c:pt idx="0">
                  <c:v>1492.81</c:v>
                </c:pt>
                <c:pt idx="1">
                  <c:v>1661.58</c:v>
                </c:pt>
                <c:pt idx="2">
                  <c:v>1714.28</c:v>
                </c:pt>
                <c:pt idx="3">
                  <c:v>1633.45</c:v>
                </c:pt>
                <c:pt idx="4">
                  <c:v>1285.24</c:v>
                </c:pt>
                <c:pt idx="5">
                  <c:v>1556.57</c:v>
                </c:pt>
                <c:pt idx="6">
                  <c:v>1549.87</c:v>
                </c:pt>
                <c:pt idx="7">
                  <c:v>1598.93</c:v>
                </c:pt>
                <c:pt idx="8">
                  <c:v>1717.32</c:v>
                </c:pt>
                <c:pt idx="9">
                  <c:v>1576.83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CC-49C0-8102-AD75F999D3EE}"/>
            </c:ext>
          </c:extLst>
        </c:ser>
        <c:ser>
          <c:idx val="6"/>
          <c:order val="6"/>
          <c:tx>
            <c:strRef>
              <c:f>'Data Sheet'!$A$48</c:f>
              <c:strCache>
                <c:ptCount val="1"/>
                <c:pt idx="0">
                  <c:v> Tax </c:v>
                </c:pt>
              </c:strCache>
            </c:strRef>
          </c:tx>
          <c:invertIfNegative val="0"/>
          <c:cat>
            <c:strRef>
              <c:f>'Data Sheet'!$B$40:$K$41</c:f>
              <c:strCache>
                <c:ptCount val="10"/>
                <c:pt idx="0">
                  <c:v>Mar-22</c:v>
                </c:pt>
                <c:pt idx="1">
                  <c:v>Jun-22</c:v>
                </c:pt>
                <c:pt idx="2">
                  <c:v>Sep-22</c:v>
                </c:pt>
                <c:pt idx="3">
                  <c:v>Dec-22</c:v>
                </c:pt>
                <c:pt idx="4">
                  <c:v>Mar-23</c:v>
                </c:pt>
                <c:pt idx="5">
                  <c:v>Jun-23</c:v>
                </c:pt>
                <c:pt idx="6">
                  <c:v>Sep-23</c:v>
                </c:pt>
                <c:pt idx="7">
                  <c:v>Dec-23</c:v>
                </c:pt>
                <c:pt idx="8">
                  <c:v>Mar-24</c:v>
                </c:pt>
                <c:pt idx="9">
                  <c:v>Jun-24</c:v>
                </c:pt>
              </c:strCache>
            </c:strRef>
          </c:cat>
          <c:val>
            <c:numRef>
              <c:f>'Data Sheet'!$B$48:$K$48</c:f>
              <c:numCache>
                <c:formatCode>_(* #,##0.00_);_(* \(#,##0.00\);_(* "-"??_);_(@_)</c:formatCode>
                <c:ptCount val="10"/>
                <c:pt idx="0" formatCode="General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C-49C0-8102-AD75F999D3EE}"/>
            </c:ext>
          </c:extLst>
        </c:ser>
        <c:ser>
          <c:idx val="7"/>
          <c:order val="7"/>
          <c:tx>
            <c:strRef>
              <c:f>'Data Sheet'!$A$49</c:f>
              <c:strCache>
                <c:ptCount val="1"/>
                <c:pt idx="0">
                  <c:v> Net profit </c:v>
                </c:pt>
              </c:strCache>
            </c:strRef>
          </c:tx>
          <c:invertIfNegative val="0"/>
          <c:cat>
            <c:strRef>
              <c:f>'Data Sheet'!$B$40:$K$41</c:f>
              <c:strCache>
                <c:ptCount val="10"/>
                <c:pt idx="0">
                  <c:v>Mar-22</c:v>
                </c:pt>
                <c:pt idx="1">
                  <c:v>Jun-22</c:v>
                </c:pt>
                <c:pt idx="2">
                  <c:v>Sep-22</c:v>
                </c:pt>
                <c:pt idx="3">
                  <c:v>Dec-22</c:v>
                </c:pt>
                <c:pt idx="4">
                  <c:v>Mar-23</c:v>
                </c:pt>
                <c:pt idx="5">
                  <c:v>Jun-23</c:v>
                </c:pt>
                <c:pt idx="6">
                  <c:v>Sep-23</c:v>
                </c:pt>
                <c:pt idx="7">
                  <c:v>Dec-23</c:v>
                </c:pt>
                <c:pt idx="8">
                  <c:v>Mar-24</c:v>
                </c:pt>
                <c:pt idx="9">
                  <c:v>Jun-24</c:v>
                </c:pt>
              </c:strCache>
            </c:strRef>
          </c:cat>
          <c:val>
            <c:numRef>
              <c:f>'Data Sheet'!$B$49:$K$49</c:f>
              <c:numCache>
                <c:formatCode>General</c:formatCode>
                <c:ptCount val="10"/>
                <c:pt idx="0">
                  <c:v>1492.5</c:v>
                </c:pt>
                <c:pt idx="1">
                  <c:v>1661.58</c:v>
                </c:pt>
                <c:pt idx="2">
                  <c:v>1714.28</c:v>
                </c:pt>
                <c:pt idx="3">
                  <c:v>1633.45</c:v>
                </c:pt>
                <c:pt idx="4">
                  <c:v>1285.24</c:v>
                </c:pt>
                <c:pt idx="5">
                  <c:v>1556.57</c:v>
                </c:pt>
                <c:pt idx="6">
                  <c:v>1549.87</c:v>
                </c:pt>
                <c:pt idx="7">
                  <c:v>1598.93</c:v>
                </c:pt>
                <c:pt idx="8">
                  <c:v>1717.32</c:v>
                </c:pt>
                <c:pt idx="9">
                  <c:v>1576.83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CC-49C0-8102-AD75F999D3EE}"/>
            </c:ext>
          </c:extLst>
        </c:ser>
        <c:ser>
          <c:idx val="8"/>
          <c:order val="8"/>
          <c:tx>
            <c:strRef>
              <c:f>'Data Sheet'!$A$50</c:f>
              <c:strCache>
                <c:ptCount val="1"/>
                <c:pt idx="0">
                  <c:v> Operating Profit </c:v>
                </c:pt>
              </c:strCache>
            </c:strRef>
          </c:tx>
          <c:invertIfNegative val="0"/>
          <c:cat>
            <c:strRef>
              <c:f>'Data Sheet'!$B$40:$K$41</c:f>
              <c:strCache>
                <c:ptCount val="10"/>
                <c:pt idx="0">
                  <c:v>Mar-22</c:v>
                </c:pt>
                <c:pt idx="1">
                  <c:v>Jun-22</c:v>
                </c:pt>
                <c:pt idx="2">
                  <c:v>Sep-22</c:v>
                </c:pt>
                <c:pt idx="3">
                  <c:v>Dec-22</c:v>
                </c:pt>
                <c:pt idx="4">
                  <c:v>Mar-23</c:v>
                </c:pt>
                <c:pt idx="5">
                  <c:v>Jun-23</c:v>
                </c:pt>
                <c:pt idx="6">
                  <c:v>Sep-23</c:v>
                </c:pt>
                <c:pt idx="7">
                  <c:v>Dec-23</c:v>
                </c:pt>
                <c:pt idx="8">
                  <c:v>Mar-24</c:v>
                </c:pt>
                <c:pt idx="9">
                  <c:v>Jun-24</c:v>
                </c:pt>
              </c:strCache>
            </c:strRef>
          </c:cat>
          <c:val>
            <c:numRef>
              <c:f>'Data Sheet'!$B$50:$K$50</c:f>
              <c:numCache>
                <c:formatCode>General</c:formatCode>
                <c:ptCount val="10"/>
                <c:pt idx="0">
                  <c:v>5849.28</c:v>
                </c:pt>
                <c:pt idx="1">
                  <c:v>5604.7</c:v>
                </c:pt>
                <c:pt idx="2">
                  <c:v>5775.74</c:v>
                </c:pt>
                <c:pt idx="3">
                  <c:v>6187.59</c:v>
                </c:pt>
                <c:pt idx="4">
                  <c:v>6147.01</c:v>
                </c:pt>
                <c:pt idx="5">
                  <c:v>6649.91</c:v>
                </c:pt>
                <c:pt idx="6">
                  <c:v>6732.66</c:v>
                </c:pt>
                <c:pt idx="7">
                  <c:v>6701.13</c:v>
                </c:pt>
                <c:pt idx="8">
                  <c:v>6439.34</c:v>
                </c:pt>
                <c:pt idx="9">
                  <c:v>6732.94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CC-49C0-8102-AD75F999D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486592"/>
        <c:axId val="152493440"/>
      </c:barChart>
      <c:dateAx>
        <c:axId val="14748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2493440"/>
        <c:crosses val="autoZero"/>
        <c:auto val="1"/>
        <c:lblOffset val="100"/>
        <c:baseTimeUnit val="months"/>
      </c:dateAx>
      <c:valAx>
        <c:axId val="15249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4865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313774</xdr:colOff>
      <xdr:row>28</xdr:row>
      <xdr:rowOff>53797</xdr:rowOff>
    </xdr:from>
    <xdr:to>
      <xdr:col>8</xdr:col>
      <xdr:colOff>174821</xdr:colOff>
      <xdr:row>43</xdr:row>
      <xdr:rowOff>26903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17935</xdr:colOff>
      <xdr:row>15</xdr:row>
      <xdr:rowOff>8971</xdr:rowOff>
    </xdr:from>
    <xdr:to>
      <xdr:col>8</xdr:col>
      <xdr:colOff>896470</xdr:colOff>
      <xdr:row>35</xdr:row>
      <xdr:rowOff>134470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765CFA-9109-D757-7FB5-DA3DA8716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332519</xdr:colOff>
      <xdr:row>12</xdr:row>
      <xdr:rowOff>69284</xdr:rowOff>
    </xdr:from>
    <xdr:to>
      <xdr:col>22</xdr:col>
      <xdr:colOff>568035</xdr:colOff>
      <xdr:row>50</xdr:row>
      <xdr:rowOff>55418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130630</xdr:colOff>
      <xdr:row>34</xdr:row>
      <xdr:rowOff>141515</xdr:rowOff>
    </xdr:from>
    <xdr:to>
      <xdr:col>25</xdr:col>
      <xdr:colOff>119743</xdr:colOff>
      <xdr:row>52</xdr:row>
      <xdr:rowOff>141514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screener.in/excel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screener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zoomScale="85" zoomScaleNormal="85" zoomScaleSheetLayoutView="100" zoomScalePageLayoutView="120" workbookViewId="0">
      <pane xSplit="1" ySplit="4" topLeftCell="H8" activePane="bottomRight" state="frozen"/>
      <selection activeCell="I2" sqref="I2"/>
      <selection pane="topRight" activeCell="I2" sqref="I2"/>
      <selection pane="bottomLeft" activeCell="I2" sqref="I2"/>
      <selection pane="bottomRight" activeCell="H9" sqref="H9"/>
    </sheetView>
  </sheetViews>
  <sheetFormatPr defaultColWidth="8.77734375" defaultRowHeight="14.4" x14ac:dyDescent="0.3"/>
  <cols>
    <col min="1" max="1" width="20.6640625" customWidth="1"/>
    <col min="2" max="6" width="13.44140625" customWidth="1"/>
    <col min="7" max="7" width="14.77734375" bestFit="1" customWidth="1"/>
    <col min="8" max="11" width="13.44140625" customWidth="1"/>
    <col min="12" max="12" width="13.33203125" customWidth="1"/>
    <col min="13" max="14" width="12.109375" customWidth="1"/>
  </cols>
  <sheetData>
    <row r="1" spans="1:14" s="2" customFormat="1" x14ac:dyDescent="0.3">
      <c r="A1" s="2" t="str">
        <f>'Data Sheet'!B1</f>
        <v>INDIAN RAILWAY FINANCE CORPORATION LTD</v>
      </c>
      <c r="H1" t="str">
        <f>UPDATE</f>
        <v/>
      </c>
      <c r="J1" s="3"/>
      <c r="K1" s="3"/>
      <c r="M1" s="2" t="s">
        <v>1</v>
      </c>
    </row>
    <row r="3" spans="1:14" s="2" customFormat="1" x14ac:dyDescent="0.3">
      <c r="A3" s="11" t="s">
        <v>2</v>
      </c>
      <c r="B3" s="12">
        <f>'Data Sheet'!B16</f>
        <v>42094</v>
      </c>
      <c r="C3" s="12">
        <f>'Data Sheet'!C16</f>
        <v>42460</v>
      </c>
      <c r="D3" s="12">
        <f>'Data Sheet'!D16</f>
        <v>42825</v>
      </c>
      <c r="E3" s="12">
        <f>'Data Sheet'!E16</f>
        <v>43190</v>
      </c>
      <c r="F3" s="12">
        <f>'Data Sheet'!F16</f>
        <v>43555</v>
      </c>
      <c r="G3" s="12">
        <f>'Data Sheet'!G16</f>
        <v>43921</v>
      </c>
      <c r="H3" s="12">
        <f>'Data Sheet'!H16</f>
        <v>44286</v>
      </c>
      <c r="I3" s="12">
        <f>'Data Sheet'!I16</f>
        <v>44651</v>
      </c>
      <c r="J3" s="12">
        <f>'Data Sheet'!J16</f>
        <v>45016</v>
      </c>
      <c r="K3" s="12">
        <f>'Data Sheet'!K16</f>
        <v>45382</v>
      </c>
      <c r="L3" s="13" t="s">
        <v>3</v>
      </c>
      <c r="M3" s="13" t="s">
        <v>4</v>
      </c>
      <c r="N3" s="13" t="s">
        <v>5</v>
      </c>
    </row>
    <row r="4" spans="1:14" s="2" customFormat="1" x14ac:dyDescent="0.3">
      <c r="A4" s="2" t="s">
        <v>6</v>
      </c>
      <c r="B4" s="1">
        <f>'Data Sheet'!B17</f>
        <v>6939.19</v>
      </c>
      <c r="C4" s="1">
        <f>'Data Sheet'!C17</f>
        <v>7506.69</v>
      </c>
      <c r="D4" s="1">
        <f>'Data Sheet'!D17</f>
        <v>9047.3799999999992</v>
      </c>
      <c r="E4" s="1">
        <f>'Data Sheet'!E17</f>
        <v>9267.14</v>
      </c>
      <c r="F4" s="1">
        <f>'Data Sheet'!F17</f>
        <v>11133.59</v>
      </c>
      <c r="G4" s="1">
        <f>'Data Sheet'!G17</f>
        <v>13421.02</v>
      </c>
      <c r="H4" s="1">
        <f>'Data Sheet'!H17</f>
        <v>15770.51</v>
      </c>
      <c r="I4" s="1">
        <f>'Data Sheet'!I17</f>
        <v>20299.38</v>
      </c>
      <c r="J4" s="1">
        <f>'Data Sheet'!J17</f>
        <v>23722.09</v>
      </c>
      <c r="K4" s="1">
        <f>'Data Sheet'!K17</f>
        <v>26645.47</v>
      </c>
      <c r="L4" s="1">
        <f>SUM(Quarters!H4:K4)</f>
        <v>26742.420000000002</v>
      </c>
      <c r="M4" s="1">
        <f>$K4+M23*K4</f>
        <v>31735.786626117966</v>
      </c>
      <c r="N4" s="1">
        <f>$K4+N23*L4</f>
        <v>29941.058870103774</v>
      </c>
    </row>
    <row r="5" spans="1:14" x14ac:dyDescent="0.3">
      <c r="A5" t="s">
        <v>7</v>
      </c>
      <c r="B5" s="6">
        <f>SUM('Data Sheet'!B18,'Data Sheet'!B20:B24, -1*'Data Sheet'!B19)</f>
        <v>33.71</v>
      </c>
      <c r="C5" s="6">
        <f>SUM('Data Sheet'!C18,'Data Sheet'!C20:C24, -1*'Data Sheet'!C19)</f>
        <v>38.200000000000003</v>
      </c>
      <c r="D5" s="6">
        <f>SUM('Data Sheet'!D18,'Data Sheet'!D20:D24, -1*'Data Sheet'!D19)</f>
        <v>25.89</v>
      </c>
      <c r="E5" s="6">
        <f>SUM('Data Sheet'!E18,'Data Sheet'!E20:E24, -1*'Data Sheet'!E19)</f>
        <v>37.94</v>
      </c>
      <c r="F5" s="6">
        <f>SUM('Data Sheet'!F18,'Data Sheet'!F20:F24, -1*'Data Sheet'!F19)</f>
        <v>48.47</v>
      </c>
      <c r="G5" s="6">
        <f>SUM('Data Sheet'!G18,'Data Sheet'!G20:G24, -1*'Data Sheet'!G19)</f>
        <v>65.83</v>
      </c>
      <c r="H5" s="6">
        <f>SUM('Data Sheet'!H18,'Data Sheet'!H20:H24, -1*'Data Sheet'!H19)</f>
        <v>113.22999999999999</v>
      </c>
      <c r="I5" s="6">
        <f>SUM('Data Sheet'!I18,'Data Sheet'!I20:I24, -1*'Data Sheet'!I19)</f>
        <v>122.63999999999999</v>
      </c>
      <c r="J5" s="6">
        <f>SUM('Data Sheet'!J18,'Data Sheet'!J20:J24, -1*'Data Sheet'!J19)</f>
        <v>134.32</v>
      </c>
      <c r="K5" s="6">
        <f>SUM('Data Sheet'!K18,'Data Sheet'!K20:K24, -1*'Data Sheet'!K19)</f>
        <v>132.86000000000001</v>
      </c>
      <c r="L5" s="6">
        <f>SUM(Quarters!H5:K5)</f>
        <v>136.35</v>
      </c>
      <c r="M5" s="6">
        <f t="shared" ref="M5:N5" si="0">M4-M6</f>
        <v>161.80938398511717</v>
      </c>
      <c r="N5" s="6">
        <f t="shared" si="0"/>
        <v>170.57010356782484</v>
      </c>
    </row>
    <row r="6" spans="1:14" s="2" customFormat="1" x14ac:dyDescent="0.3">
      <c r="A6" s="2" t="s">
        <v>8</v>
      </c>
      <c r="B6" s="1">
        <f>B4-B5</f>
        <v>6905.48</v>
      </c>
      <c r="C6" s="1">
        <f t="shared" ref="C6:K6" si="1">C4-C5</f>
        <v>7468.49</v>
      </c>
      <c r="D6" s="1">
        <f t="shared" si="1"/>
        <v>9021.49</v>
      </c>
      <c r="E6" s="1">
        <f t="shared" si="1"/>
        <v>9229.1999999999989</v>
      </c>
      <c r="F6" s="1">
        <f t="shared" si="1"/>
        <v>11085.12</v>
      </c>
      <c r="G6" s="1">
        <f t="shared" si="1"/>
        <v>13355.19</v>
      </c>
      <c r="H6" s="1">
        <f t="shared" si="1"/>
        <v>15657.28</v>
      </c>
      <c r="I6" s="1">
        <f t="shared" si="1"/>
        <v>20176.740000000002</v>
      </c>
      <c r="J6" s="1">
        <f t="shared" si="1"/>
        <v>23587.77</v>
      </c>
      <c r="K6" s="1">
        <f t="shared" si="1"/>
        <v>26512.61</v>
      </c>
      <c r="L6" s="1">
        <f>SUM(Quarters!H6:K6)</f>
        <v>26606.07</v>
      </c>
      <c r="M6" s="1">
        <f>M4*M24</f>
        <v>31573.977242132849</v>
      </c>
      <c r="N6" s="1">
        <f>N4*N24</f>
        <v>29770.488766535949</v>
      </c>
    </row>
    <row r="7" spans="1:14" x14ac:dyDescent="0.3">
      <c r="A7" t="s">
        <v>9</v>
      </c>
      <c r="B7" s="6">
        <f>'Data Sheet'!B25</f>
        <v>0.97</v>
      </c>
      <c r="C7" s="6">
        <f>'Data Sheet'!C25</f>
        <v>0.61</v>
      </c>
      <c r="D7" s="6">
        <f>'Data Sheet'!D25</f>
        <v>0.26</v>
      </c>
      <c r="E7" s="6">
        <f>'Data Sheet'!E25</f>
        <v>1.23</v>
      </c>
      <c r="F7" s="6">
        <f>'Data Sheet'!F25</f>
        <v>-0.02</v>
      </c>
      <c r="G7" s="6">
        <f>'Data Sheet'!G25</f>
        <v>0.06</v>
      </c>
      <c r="H7" s="6">
        <f>'Data Sheet'!H25</f>
        <v>0.33</v>
      </c>
      <c r="I7" s="6">
        <f>'Data Sheet'!I25</f>
        <v>2.2200000000000002</v>
      </c>
      <c r="J7" s="6">
        <f>'Data Sheet'!J25</f>
        <v>40.659999999999997</v>
      </c>
      <c r="K7" s="6">
        <f>'Data Sheet'!K25</f>
        <v>10.41</v>
      </c>
      <c r="L7" s="6">
        <f>SUM(Quarters!H7:K7)</f>
        <v>9.09</v>
      </c>
      <c r="M7" s="6">
        <v>0</v>
      </c>
      <c r="N7" s="6">
        <v>0</v>
      </c>
    </row>
    <row r="8" spans="1:14" x14ac:dyDescent="0.3">
      <c r="A8" t="s">
        <v>10</v>
      </c>
      <c r="B8" s="6">
        <f>'Data Sheet'!B26</f>
        <v>0.44</v>
      </c>
      <c r="C8" s="6">
        <f>'Data Sheet'!C26</f>
        <v>0.35</v>
      </c>
      <c r="D8" s="6">
        <f>'Data Sheet'!D26</f>
        <v>0.35</v>
      </c>
      <c r="E8" s="6">
        <f>'Data Sheet'!E26</f>
        <v>0.35</v>
      </c>
      <c r="F8" s="6">
        <f>'Data Sheet'!F26</f>
        <v>0.42</v>
      </c>
      <c r="G8" s="6">
        <f>'Data Sheet'!G26</f>
        <v>0.46</v>
      </c>
      <c r="H8" s="6">
        <f>'Data Sheet'!H26</f>
        <v>4.43</v>
      </c>
      <c r="I8" s="6">
        <f>'Data Sheet'!I26</f>
        <v>14.03</v>
      </c>
      <c r="J8" s="6">
        <f>'Data Sheet'!J26</f>
        <v>14.06</v>
      </c>
      <c r="K8" s="6">
        <f>'Data Sheet'!K26</f>
        <v>9.44</v>
      </c>
      <c r="L8" s="6">
        <f>SUM(Quarters!H8:K8)</f>
        <v>6.8</v>
      </c>
      <c r="M8" s="6">
        <f>+$L8</f>
        <v>6.8</v>
      </c>
      <c r="N8" s="6">
        <f>+$L8</f>
        <v>6.8</v>
      </c>
    </row>
    <row r="9" spans="1:14" x14ac:dyDescent="0.3">
      <c r="A9" t="s">
        <v>11</v>
      </c>
      <c r="B9" s="6">
        <f>'Data Sheet'!B27</f>
        <v>4991.83</v>
      </c>
      <c r="C9" s="6">
        <f>'Data Sheet'!C27</f>
        <v>5518.84</v>
      </c>
      <c r="D9" s="6">
        <f>'Data Sheet'!D27</f>
        <v>6888.13</v>
      </c>
      <c r="E9" s="6">
        <f>'Data Sheet'!E27</f>
        <v>6637.59</v>
      </c>
      <c r="F9" s="6">
        <f>'Data Sheet'!F27</f>
        <v>8183.1</v>
      </c>
      <c r="G9" s="6">
        <f>'Data Sheet'!G27</f>
        <v>10162.700000000001</v>
      </c>
      <c r="H9" s="6">
        <f>'Data Sheet'!H27</f>
        <v>11237.05</v>
      </c>
      <c r="I9" s="6">
        <f>'Data Sheet'!I27</f>
        <v>14074.78</v>
      </c>
      <c r="J9" s="6">
        <f>'Data Sheet'!J27</f>
        <v>17447.21</v>
      </c>
      <c r="K9" s="6">
        <f>'Data Sheet'!K27</f>
        <v>20101.47</v>
      </c>
      <c r="L9" s="6">
        <f>SUM(Quarters!H9:K9)</f>
        <v>20165.41</v>
      </c>
      <c r="M9" s="6">
        <f>+$L9</f>
        <v>20165.41</v>
      </c>
      <c r="N9" s="6">
        <f>+$L9</f>
        <v>20165.41</v>
      </c>
    </row>
    <row r="10" spans="1:14" x14ac:dyDescent="0.3">
      <c r="A10" t="s">
        <v>12</v>
      </c>
      <c r="B10" s="6">
        <f>'Data Sheet'!B28</f>
        <v>1914.18</v>
      </c>
      <c r="C10" s="6">
        <f>'Data Sheet'!C28</f>
        <v>1949.91</v>
      </c>
      <c r="D10" s="6">
        <f>'Data Sheet'!D28</f>
        <v>2133.27</v>
      </c>
      <c r="E10" s="6">
        <f>'Data Sheet'!E28</f>
        <v>2592.4899999999998</v>
      </c>
      <c r="F10" s="6">
        <f>'Data Sheet'!F28</f>
        <v>2901.58</v>
      </c>
      <c r="G10" s="6">
        <f>'Data Sheet'!G28</f>
        <v>3192.09</v>
      </c>
      <c r="H10" s="6">
        <f>'Data Sheet'!H28</f>
        <v>4416.13</v>
      </c>
      <c r="I10" s="6">
        <f>'Data Sheet'!I28</f>
        <v>6090.15</v>
      </c>
      <c r="J10" s="6">
        <f>'Data Sheet'!J28</f>
        <v>6167.16</v>
      </c>
      <c r="K10" s="6">
        <f>'Data Sheet'!K28</f>
        <v>6412.11</v>
      </c>
      <c r="L10" s="6">
        <f>SUM(Quarters!H10:K10)</f>
        <v>6442.95</v>
      </c>
      <c r="M10" s="6">
        <f>M6+M7-SUM(M8:M9)</f>
        <v>11401.76724213285</v>
      </c>
      <c r="N10" s="6">
        <f>N6+N7-SUM(N8:N9)</f>
        <v>9598.2787665359501</v>
      </c>
    </row>
    <row r="11" spans="1:14" x14ac:dyDescent="0.3">
      <c r="A11" t="s">
        <v>13</v>
      </c>
      <c r="B11" s="6">
        <f>'Data Sheet'!B29</f>
        <v>1155.8800000000001</v>
      </c>
      <c r="C11" s="6">
        <f>'Data Sheet'!C29</f>
        <v>1101.22</v>
      </c>
      <c r="D11" s="6">
        <f>'Data Sheet'!D29</f>
        <v>1199.46</v>
      </c>
      <c r="E11" s="6">
        <f>'Data Sheet'!E29</f>
        <v>537.83000000000004</v>
      </c>
      <c r="F11" s="6">
        <f>'Data Sheet'!F29</f>
        <v>646.84</v>
      </c>
      <c r="G11" s="6">
        <f>'Data Sheet'!G29</f>
        <v>0</v>
      </c>
      <c r="H11" s="6">
        <f>'Data Sheet'!H29</f>
        <v>0</v>
      </c>
      <c r="I11" s="6">
        <f>'Data Sheet'!I29</f>
        <v>0.32</v>
      </c>
      <c r="J11" s="6">
        <f>'Data Sheet'!J29</f>
        <v>0</v>
      </c>
      <c r="K11" s="6">
        <f>'Data Sheet'!K29</f>
        <v>0</v>
      </c>
      <c r="L11" s="6">
        <f>SUM(Quarters!H11:K11)</f>
        <v>0</v>
      </c>
      <c r="M11" s="7">
        <f>IF($L10&gt;0,$L11/$L10,0)</f>
        <v>0</v>
      </c>
      <c r="N11" s="7">
        <f>IF($L10&gt;0,$L11/$L10,0)</f>
        <v>0</v>
      </c>
    </row>
    <row r="12" spans="1:14" s="2" customFormat="1" x14ac:dyDescent="0.3">
      <c r="A12" s="2" t="s">
        <v>14</v>
      </c>
      <c r="B12" s="1">
        <f>'Data Sheet'!B30</f>
        <v>758.3</v>
      </c>
      <c r="C12" s="1">
        <f>'Data Sheet'!C30</f>
        <v>848.69</v>
      </c>
      <c r="D12" s="1">
        <f>'Data Sheet'!D30</f>
        <v>933.81</v>
      </c>
      <c r="E12" s="1">
        <f>'Data Sheet'!E30</f>
        <v>2054.66</v>
      </c>
      <c r="F12" s="1">
        <f>'Data Sheet'!F30</f>
        <v>2254.75</v>
      </c>
      <c r="G12" s="1">
        <f>'Data Sheet'!G30</f>
        <v>3192.1</v>
      </c>
      <c r="H12" s="1">
        <f>'Data Sheet'!H30</f>
        <v>4416.13</v>
      </c>
      <c r="I12" s="1">
        <f>'Data Sheet'!I30</f>
        <v>6089.84</v>
      </c>
      <c r="J12" s="1">
        <f>'Data Sheet'!J30</f>
        <v>6167.16</v>
      </c>
      <c r="K12" s="1">
        <f>'Data Sheet'!K30</f>
        <v>6412.1</v>
      </c>
      <c r="L12" s="1">
        <f>SUM(Quarters!H12:K12)</f>
        <v>6442.95</v>
      </c>
      <c r="M12" s="1">
        <f>M10-M11*M10</f>
        <v>11401.76724213285</v>
      </c>
      <c r="N12" s="1">
        <f>N10-N11*N10</f>
        <v>9598.2787665359501</v>
      </c>
    </row>
    <row r="13" spans="1:14" x14ac:dyDescent="0.3">
      <c r="A13" t="s">
        <v>48</v>
      </c>
      <c r="B13" s="6">
        <f>IF('Data Sheet'!B93&gt;0,B12/'Data Sheet'!B93,0)</f>
        <v>211.81564245810054</v>
      </c>
      <c r="C13" s="6">
        <f>IF('Data Sheet'!C93&gt;0,C12/'Data Sheet'!C93,0)</f>
        <v>187.34878587196468</v>
      </c>
      <c r="D13" s="6">
        <f>IF('Data Sheet'!D93&gt;0,D12/'Data Sheet'!D93,0)</f>
        <v>143.00306278713629</v>
      </c>
      <c r="E13" s="6">
        <f>IF('Data Sheet'!E93&gt;0,E12/'Data Sheet'!E93,0)</f>
        <v>3.1481804949053855</v>
      </c>
      <c r="F13" s="6">
        <f>IF('Data Sheet'!F93&gt;0,F12/'Data Sheet'!F93,0)</f>
        <v>2.4036565215073824</v>
      </c>
      <c r="G13" s="6">
        <f>IF('Data Sheet'!G93&gt;0,G12/'Data Sheet'!G93,0)</f>
        <v>2.686839779470561</v>
      </c>
      <c r="H13" s="6">
        <f>IF('Data Sheet'!H93&gt;0,H12/'Data Sheet'!H93,0)</f>
        <v>3.3792172016681334</v>
      </c>
      <c r="I13" s="6">
        <f>IF('Data Sheet'!I93&gt;0,I12/'Data Sheet'!I93,0)</f>
        <v>4.6599380189004096</v>
      </c>
      <c r="J13" s="6">
        <f>IF('Data Sheet'!J93&gt;0,J12/'Data Sheet'!J93,0)</f>
        <v>4.7191031870528368</v>
      </c>
      <c r="K13" s="6">
        <f>IF('Data Sheet'!K93&gt;0,K12/'Data Sheet'!K93,0)</f>
        <v>4.9065309714198273</v>
      </c>
      <c r="L13" s="6">
        <f>IF('Data Sheet'!$B6&gt;0,'Profit &amp; Loss'!L12/'Data Sheet'!$B6,0)</f>
        <v>4.9301351253035</v>
      </c>
      <c r="M13" s="6">
        <f>IF('Data Sheet'!$B6&gt;0,'Profit &amp; Loss'!M12/'Data Sheet'!$B6,0)</f>
        <v>8.7246142172411663</v>
      </c>
      <c r="N13" s="6">
        <f>IF('Data Sheet'!$B6&gt;0,'Profit &amp; Loss'!N12/'Data Sheet'!$B6,0)</f>
        <v>7.3445876949772444</v>
      </c>
    </row>
    <row r="14" spans="1:14" x14ac:dyDescent="0.3">
      <c r="A14" t="s">
        <v>16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f t="shared" ref="H14:K14" si="2">IF(H15&gt;0,H15/H13,"")</f>
        <v>6.7767173973592252</v>
      </c>
      <c r="I14" s="6">
        <f t="shared" si="2"/>
        <v>4.6030655156785727</v>
      </c>
      <c r="J14" s="6">
        <f t="shared" si="2"/>
        <v>5.6366642019989754</v>
      </c>
      <c r="K14" s="6">
        <f t="shared" si="2"/>
        <v>29.012351257778256</v>
      </c>
      <c r="L14" s="6">
        <f t="shared" ref="L14" si="3">IF(L13&gt;0,L15/L13,0)</f>
        <v>30.911931646217958</v>
      </c>
      <c r="M14" s="6">
        <f>M25</f>
        <v>30.911931646217958</v>
      </c>
      <c r="N14" s="6">
        <f>N25</f>
        <v>15.3881460038066</v>
      </c>
    </row>
    <row r="15" spans="1:14" s="2" customFormat="1" x14ac:dyDescent="0.3">
      <c r="A15" s="2" t="s">
        <v>49</v>
      </c>
      <c r="B15" s="1">
        <f>'Data Sheet'!B90</f>
        <v>0</v>
      </c>
      <c r="C15" s="1">
        <f>'Data Sheet'!C90</f>
        <v>0</v>
      </c>
      <c r="D15" s="1">
        <f>'Data Sheet'!D90</f>
        <v>0</v>
      </c>
      <c r="E15" s="1">
        <f>'Data Sheet'!E90</f>
        <v>0</v>
      </c>
      <c r="F15" s="1">
        <f>'Data Sheet'!F90</f>
        <v>0</v>
      </c>
      <c r="G15" s="1">
        <f>'Data Sheet'!G90</f>
        <v>0</v>
      </c>
      <c r="H15" s="1">
        <f>'Data Sheet'!H90</f>
        <v>22.9</v>
      </c>
      <c r="I15" s="1">
        <f>'Data Sheet'!I90</f>
        <v>21.45</v>
      </c>
      <c r="J15" s="1">
        <f>'Data Sheet'!J90</f>
        <v>26.6</v>
      </c>
      <c r="K15" s="1">
        <f>'Data Sheet'!K90</f>
        <v>142.35</v>
      </c>
      <c r="L15" s="1">
        <f>'Data Sheet'!B8</f>
        <v>152.4</v>
      </c>
      <c r="M15" s="8">
        <f>M13*M14</f>
        <v>269.69467832298034</v>
      </c>
      <c r="N15" s="9">
        <f>N13*N14</f>
        <v>113.01958778807121</v>
      </c>
    </row>
    <row r="17" spans="1:14" s="2" customFormat="1" x14ac:dyDescent="0.3">
      <c r="A17" s="2" t="s">
        <v>15</v>
      </c>
    </row>
    <row r="18" spans="1:14" x14ac:dyDescent="0.3">
      <c r="A18" t="s">
        <v>17</v>
      </c>
      <c r="B18" s="5">
        <f>IF('Data Sheet'!B30&gt;0, 'Data Sheet'!B31/'Data Sheet'!B30, 0)</f>
        <v>0.20039562178557302</v>
      </c>
      <c r="C18" s="5">
        <f>IF('Data Sheet'!C30&gt;0, 'Data Sheet'!C31/'Data Sheet'!C30, 0)</f>
        <v>0.40000471314614289</v>
      </c>
      <c r="D18" s="5">
        <f>IF('Data Sheet'!D30&gt;0, 'Data Sheet'!D31/'Data Sheet'!D30, 0)</f>
        <v>0.39977083132543023</v>
      </c>
      <c r="E18" s="5">
        <f>IF('Data Sheet'!E30&gt;0, 'Data Sheet'!E31/'Data Sheet'!E30, 0)</f>
        <v>0.18264335705177501</v>
      </c>
      <c r="F18" s="5">
        <f>IF('Data Sheet'!F30&gt;0, 'Data Sheet'!F31/'Data Sheet'!F30, 0)</f>
        <v>0.17723029160660828</v>
      </c>
      <c r="G18" s="5">
        <f>IF('Data Sheet'!G30&gt;0, 'Data Sheet'!G31/'Data Sheet'!G30, 0)</f>
        <v>0</v>
      </c>
      <c r="H18" s="5">
        <f>IF('Data Sheet'!H30&gt;0, 'Data Sheet'!H31/'Data Sheet'!H30, 0)</f>
        <v>0.31072228399073398</v>
      </c>
      <c r="I18" s="5">
        <f>IF('Data Sheet'!I30&gt;0, 'Data Sheet'!I31/'Data Sheet'!I30, 0)</f>
        <v>0.30043318051048956</v>
      </c>
      <c r="J18" s="5">
        <f>IF('Data Sheet'!J30&gt;0, 'Data Sheet'!J31/'Data Sheet'!J30, 0)</f>
        <v>0.31785781461807378</v>
      </c>
      <c r="K18" s="5">
        <f>IF('Data Sheet'!K30&gt;0, 'Data Sheet'!K31/'Data Sheet'!K30, 0)</f>
        <v>0.30571575614853164</v>
      </c>
      <c r="L18" s="5">
        <f>IF('Data Sheet'!L30&gt;0, 'Data Sheet'!L31/'Data Sheet'!L30, 0)</f>
        <v>0</v>
      </c>
      <c r="M18" s="5">
        <f>IF('Data Sheet'!M30&gt;0, 'Data Sheet'!M31/'Data Sheet'!M30, 0)</f>
        <v>0</v>
      </c>
      <c r="N18" s="5">
        <f>IF('Data Sheet'!N30&gt;0, 'Data Sheet'!N31/'Data Sheet'!N30, 0)</f>
        <v>0</v>
      </c>
    </row>
    <row r="19" spans="1:14" x14ac:dyDescent="0.3">
      <c r="A19" t="s">
        <v>18</v>
      </c>
      <c r="B19" s="5">
        <f t="shared" ref="B19:L19" si="4">IF(B6&gt;0,B6/B4,0)</f>
        <v>0.99514208430666984</v>
      </c>
      <c r="C19" s="5">
        <f t="shared" ref="C19:K19" si="5">IF(C6&gt;0,C6/C4,0)</f>
        <v>0.99491120587102977</v>
      </c>
      <c r="D19" s="5">
        <f t="shared" si="5"/>
        <v>0.99713839807767557</v>
      </c>
      <c r="E19" s="5">
        <f t="shared" si="5"/>
        <v>0.99590596451548152</v>
      </c>
      <c r="F19" s="5">
        <f t="shared" si="5"/>
        <v>0.99564650755057449</v>
      </c>
      <c r="G19" s="5">
        <f t="shared" si="5"/>
        <v>0.99509500768197945</v>
      </c>
      <c r="H19" s="5">
        <f t="shared" si="5"/>
        <v>0.99282014341958502</v>
      </c>
      <c r="I19" s="5">
        <f t="shared" si="5"/>
        <v>0.99395843616898649</v>
      </c>
      <c r="J19" s="5">
        <f t="shared" si="5"/>
        <v>0.99433776703486076</v>
      </c>
      <c r="K19" s="5">
        <f t="shared" si="5"/>
        <v>0.99501378658361062</v>
      </c>
      <c r="L19" s="5">
        <f t="shared" si="4"/>
        <v>0.99490135896452148</v>
      </c>
      <c r="M19" s="5">
        <f>IF('Data Sheet'!M31&gt;0, 'Data Sheet'!M32/'Data Sheet'!M31, 0)</f>
        <v>0</v>
      </c>
      <c r="N19" s="5">
        <f>IF('Data Sheet'!N31&gt;0, 'Data Sheet'!N32/'Data Sheet'!N31, 0)</f>
        <v>0</v>
      </c>
    </row>
    <row r="20" spans="1:14" x14ac:dyDescent="0.3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4" x14ac:dyDescent="0.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4" s="2" customFormat="1" x14ac:dyDescent="0.3">
      <c r="A22" s="11"/>
      <c r="B22" s="12"/>
      <c r="C22" s="12"/>
      <c r="D22" s="12"/>
      <c r="E22" s="12"/>
      <c r="F22" s="12"/>
      <c r="G22" s="12" t="s">
        <v>19</v>
      </c>
      <c r="H22" s="12" t="s">
        <v>56</v>
      </c>
      <c r="I22" s="12" t="s">
        <v>57</v>
      </c>
      <c r="J22" s="12" t="s">
        <v>58</v>
      </c>
      <c r="K22" s="12" t="s">
        <v>59</v>
      </c>
      <c r="L22" s="13" t="s">
        <v>60</v>
      </c>
      <c r="M22" s="13" t="s">
        <v>20</v>
      </c>
      <c r="N22" s="13" t="s">
        <v>21</v>
      </c>
    </row>
    <row r="23" spans="1:14" s="2" customFormat="1" x14ac:dyDescent="0.3">
      <c r="A23"/>
      <c r="B23"/>
      <c r="C23"/>
      <c r="D23"/>
      <c r="E23"/>
      <c r="F23"/>
      <c r="G23" t="s">
        <v>22</v>
      </c>
      <c r="H23" s="5">
        <f>IF(B4=0,"",POWER($K4/B4,1/9)-1)</f>
        <v>0.16124496813431155</v>
      </c>
      <c r="I23" s="5">
        <f>IF(D4=0,"",POWER($K4/D4,1/7)-1)</f>
        <v>0.16684821130674332</v>
      </c>
      <c r="J23" s="5">
        <f>IF(F4=0,"",POWER($K4/F4,1/5)-1)</f>
        <v>0.19068705540130559</v>
      </c>
      <c r="K23" s="5">
        <f>IF(H4=0,"",POWER($K4/H4, 1/3)-1)</f>
        <v>0.1910387253862651</v>
      </c>
      <c r="L23" s="5">
        <f>IF(ISERROR(MAX(IF(J4=0,"",(K4-J4)/J4),IF(K4=0,"",(L4-K4)/K4))),"",MAX(IF(J4=0,"",(K4-J4)/J4),IF(K4=0,"",(L4-K4)/K4)))</f>
        <v>0.12323450421105396</v>
      </c>
      <c r="M23" s="16">
        <f>MAX(K23:L23)</f>
        <v>0.1910387253862651</v>
      </c>
      <c r="N23" s="16">
        <f>MIN(H23:L23)</f>
        <v>0.12323450421105396</v>
      </c>
    </row>
    <row r="24" spans="1:14" x14ac:dyDescent="0.3">
      <c r="G24" t="s">
        <v>18</v>
      </c>
      <c r="H24" s="5">
        <f>IF(SUM(B4:$K$4)=0,"",SUMPRODUCT(B19:$K$19,B4:$K$4)/SUM(B4:$K$4))</f>
        <v>0.99476120269524437</v>
      </c>
      <c r="I24" s="5">
        <f>IF(SUM(E4:$K$4)=0,"",SUMPRODUCT(E19:$K$19,E4:$K$4)/SUM(E4:$K$4))</f>
        <v>0.99455101979723803</v>
      </c>
      <c r="J24" s="5">
        <f>IF(SUM(G4:$K$4)=0,"",SUMPRODUCT(G19:$K$19,G4:$K$4)/SUM(G4:$K$4))</f>
        <v>0.99430313723012187</v>
      </c>
      <c r="K24" s="5">
        <f>IF(SUM(I4:$K$4)=0, "", SUMPRODUCT(I19:$K$19,I4:$K$4)/SUM(I4:$K$4))</f>
        <v>0.99448370058191271</v>
      </c>
      <c r="L24" s="5">
        <f>L19</f>
        <v>0.99490135896452148</v>
      </c>
      <c r="M24" s="16">
        <f>MAX(K24:L24)</f>
        <v>0.99490135896452148</v>
      </c>
      <c r="N24" s="16">
        <f>MIN(H24:L24)</f>
        <v>0.99430313723012187</v>
      </c>
    </row>
    <row r="25" spans="1:14" x14ac:dyDescent="0.3">
      <c r="G25" t="s">
        <v>23</v>
      </c>
      <c r="H25" s="6">
        <f>IF(ISERROR(AVERAGEIF(B14:$L14,"&gt;0")),"",AVERAGEIF(B14:$L14,"&gt;0"))</f>
        <v>15.3881460038066</v>
      </c>
      <c r="I25" s="6">
        <f>IF(ISERROR(AVERAGEIF(E14:$L14,"&gt;0")),"",AVERAGEIF(E14:$L14,"&gt;0"))</f>
        <v>15.3881460038066</v>
      </c>
      <c r="J25" s="6">
        <f>IF(ISERROR(AVERAGEIF(G14:$L14,"&gt;0")),"",AVERAGEIF(G14:$L14,"&gt;0"))</f>
        <v>15.3881460038066</v>
      </c>
      <c r="K25" s="6">
        <f>IF(ISERROR(AVERAGEIF(I14:$L14,"&gt;0")),"",AVERAGEIF(I14:$L14,"&gt;0"))</f>
        <v>17.541003155418441</v>
      </c>
      <c r="L25" s="6">
        <f>L14</f>
        <v>30.911931646217958</v>
      </c>
      <c r="M25" s="1">
        <f>MAX(K25:L25)</f>
        <v>30.911931646217958</v>
      </c>
      <c r="N25" s="1">
        <f>MIN(H25:L25)</f>
        <v>15.3881460038066</v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85" zoomScaleNormal="85" workbookViewId="0">
      <pane xSplit="1" ySplit="3" topLeftCell="B37" activePane="bottomRight" state="frozen"/>
      <selection pane="topRight" activeCell="B1" sqref="B1"/>
      <selection pane="bottomLeft" activeCell="A4" sqref="A4"/>
      <selection pane="bottomRight" activeCell="K3" sqref="A3:K3"/>
    </sheetView>
  </sheetViews>
  <sheetFormatPr defaultColWidth="8.77734375" defaultRowHeight="14.4" x14ac:dyDescent="0.3"/>
  <cols>
    <col min="1" max="1" width="20.6640625" customWidth="1"/>
    <col min="2" max="11" width="13.44140625" bestFit="1" customWidth="1"/>
  </cols>
  <sheetData>
    <row r="1" spans="1:11" s="2" customFormat="1" x14ac:dyDescent="0.3">
      <c r="A1" s="2" t="str">
        <f>'Profit &amp; Loss'!A1</f>
        <v>INDIAN RAILWAY FINANCE CORPORATION LTD</v>
      </c>
      <c r="E1" t="str">
        <f>UPDATE</f>
        <v/>
      </c>
      <c r="J1" s="2" t="s">
        <v>1</v>
      </c>
    </row>
    <row r="3" spans="1:11" s="2" customFormat="1" x14ac:dyDescent="0.3">
      <c r="A3" s="11" t="s">
        <v>2</v>
      </c>
      <c r="B3" s="12">
        <f>'Data Sheet'!B41</f>
        <v>44651</v>
      </c>
      <c r="C3" s="12">
        <f>'Data Sheet'!C41</f>
        <v>44742</v>
      </c>
      <c r="D3" s="12">
        <f>'Data Sheet'!D41</f>
        <v>44834</v>
      </c>
      <c r="E3" s="12">
        <f>'Data Sheet'!E41</f>
        <v>44926</v>
      </c>
      <c r="F3" s="12">
        <f>'Data Sheet'!F41</f>
        <v>45016</v>
      </c>
      <c r="G3" s="12">
        <f>'Data Sheet'!G41</f>
        <v>45107</v>
      </c>
      <c r="H3" s="12">
        <f>'Data Sheet'!H41</f>
        <v>45199</v>
      </c>
      <c r="I3" s="12">
        <f>'Data Sheet'!I41</f>
        <v>45291</v>
      </c>
      <c r="J3" s="12">
        <f>'Data Sheet'!J41</f>
        <v>45382</v>
      </c>
      <c r="K3" s="12">
        <f>'Data Sheet'!K41</f>
        <v>45473</v>
      </c>
    </row>
    <row r="4" spans="1:11" s="2" customFormat="1" x14ac:dyDescent="0.3">
      <c r="A4" s="2" t="s">
        <v>6</v>
      </c>
      <c r="B4" s="1">
        <f>'Data Sheet'!B42</f>
        <v>5931.72</v>
      </c>
      <c r="C4" s="1">
        <f>'Data Sheet'!C42</f>
        <v>5627.44</v>
      </c>
      <c r="D4" s="1">
        <f>'Data Sheet'!D42</f>
        <v>5809.8</v>
      </c>
      <c r="E4" s="1">
        <f>'Data Sheet'!E42</f>
        <v>6218.1</v>
      </c>
      <c r="F4" s="1">
        <f>'Data Sheet'!F42</f>
        <v>6194.02</v>
      </c>
      <c r="G4" s="1">
        <f>'Data Sheet'!G42</f>
        <v>6679.17</v>
      </c>
      <c r="H4" s="1">
        <f>'Data Sheet'!H42</f>
        <v>6766.63</v>
      </c>
      <c r="I4" s="1">
        <f>'Data Sheet'!I42</f>
        <v>6736.6</v>
      </c>
      <c r="J4" s="1">
        <f>'Data Sheet'!J42</f>
        <v>6473.56</v>
      </c>
      <c r="K4" s="1">
        <f>'Data Sheet'!K42</f>
        <v>6765.63</v>
      </c>
    </row>
    <row r="5" spans="1:11" x14ac:dyDescent="0.3">
      <c r="A5" t="s">
        <v>7</v>
      </c>
      <c r="B5" s="6">
        <f>'Data Sheet'!B43</f>
        <v>82.44</v>
      </c>
      <c r="C5" s="6">
        <f>'Data Sheet'!C43</f>
        <v>22.74</v>
      </c>
      <c r="D5" s="6">
        <f>'Data Sheet'!D43</f>
        <v>34.06</v>
      </c>
      <c r="E5" s="6">
        <f>'Data Sheet'!E43</f>
        <v>30.51</v>
      </c>
      <c r="F5" s="6">
        <f>'Data Sheet'!F43</f>
        <v>47.01</v>
      </c>
      <c r="G5" s="6">
        <f>'Data Sheet'!G43</f>
        <v>29.26</v>
      </c>
      <c r="H5" s="6">
        <f>'Data Sheet'!H43</f>
        <v>33.97</v>
      </c>
      <c r="I5" s="6">
        <f>'Data Sheet'!I43</f>
        <v>35.47</v>
      </c>
      <c r="J5" s="6">
        <f>'Data Sheet'!J43</f>
        <v>34.22</v>
      </c>
      <c r="K5" s="6">
        <f>'Data Sheet'!K43</f>
        <v>32.69</v>
      </c>
    </row>
    <row r="6" spans="1:11" s="2" customFormat="1" x14ac:dyDescent="0.3">
      <c r="A6" s="2" t="s">
        <v>8</v>
      </c>
      <c r="B6" s="1">
        <f>'Data Sheet'!B50</f>
        <v>5849.28</v>
      </c>
      <c r="C6" s="1">
        <f>'Data Sheet'!C50</f>
        <v>5604.7</v>
      </c>
      <c r="D6" s="1">
        <f>'Data Sheet'!D50</f>
        <v>5775.74</v>
      </c>
      <c r="E6" s="1">
        <f>'Data Sheet'!E50</f>
        <v>6187.59</v>
      </c>
      <c r="F6" s="1">
        <f>'Data Sheet'!F50</f>
        <v>6147.01</v>
      </c>
      <c r="G6" s="1">
        <f>'Data Sheet'!G50</f>
        <v>6649.91</v>
      </c>
      <c r="H6" s="1">
        <f>'Data Sheet'!H50</f>
        <v>6732.66</v>
      </c>
      <c r="I6" s="1">
        <f>'Data Sheet'!I50</f>
        <v>6701.13</v>
      </c>
      <c r="J6" s="1">
        <f>'Data Sheet'!J50</f>
        <v>6439.34</v>
      </c>
      <c r="K6" s="1">
        <f>'Data Sheet'!K50</f>
        <v>6732.94</v>
      </c>
    </row>
    <row r="7" spans="1:11" x14ac:dyDescent="0.3">
      <c r="A7" t="s">
        <v>9</v>
      </c>
      <c r="B7" s="6">
        <f>'Data Sheet'!B44</f>
        <v>1.08</v>
      </c>
      <c r="C7" s="6">
        <f>'Data Sheet'!C44</f>
        <v>0.03</v>
      </c>
      <c r="D7" s="6">
        <f>'Data Sheet'!D44</f>
        <v>0.59</v>
      </c>
      <c r="E7" s="6">
        <f>'Data Sheet'!E44</f>
        <v>3.92</v>
      </c>
      <c r="F7" s="6">
        <f>'Data Sheet'!F44</f>
        <v>36.25</v>
      </c>
      <c r="G7" s="6">
        <f>'Data Sheet'!G44</f>
        <v>1.86</v>
      </c>
      <c r="H7" s="6">
        <f>'Data Sheet'!H44</f>
        <v>0.85</v>
      </c>
      <c r="I7" s="6">
        <f>'Data Sheet'!I44</f>
        <v>3.42</v>
      </c>
      <c r="J7" s="6">
        <f>'Data Sheet'!J44</f>
        <v>4.43</v>
      </c>
      <c r="K7" s="6">
        <f>'Data Sheet'!K44</f>
        <v>0.39</v>
      </c>
    </row>
    <row r="8" spans="1:11" x14ac:dyDescent="0.3">
      <c r="A8" t="s">
        <v>10</v>
      </c>
      <c r="B8" s="6">
        <f>'Data Sheet'!B45</f>
        <v>4.72</v>
      </c>
      <c r="C8" s="6">
        <f>'Data Sheet'!C45</f>
        <v>3.51</v>
      </c>
      <c r="D8" s="6">
        <f>'Data Sheet'!D45</f>
        <v>3.51</v>
      </c>
      <c r="E8" s="6">
        <f>'Data Sheet'!E45</f>
        <v>3.73</v>
      </c>
      <c r="F8" s="6">
        <f>'Data Sheet'!F45</f>
        <v>3.32</v>
      </c>
      <c r="G8" s="6">
        <f>'Data Sheet'!G45</f>
        <v>4.2300000000000004</v>
      </c>
      <c r="H8" s="6">
        <f>'Data Sheet'!H45</f>
        <v>2.15</v>
      </c>
      <c r="I8" s="6">
        <f>'Data Sheet'!I45</f>
        <v>1.33</v>
      </c>
      <c r="J8" s="6">
        <f>'Data Sheet'!J45</f>
        <v>1.73</v>
      </c>
      <c r="K8" s="6">
        <f>'Data Sheet'!K45</f>
        <v>1.59</v>
      </c>
    </row>
    <row r="9" spans="1:11" x14ac:dyDescent="0.3">
      <c r="A9" t="s">
        <v>11</v>
      </c>
      <c r="B9" s="6">
        <f>'Data Sheet'!B46</f>
        <v>4352.83</v>
      </c>
      <c r="C9" s="6">
        <f>'Data Sheet'!C46</f>
        <v>3939.64</v>
      </c>
      <c r="D9" s="6">
        <f>'Data Sheet'!D46</f>
        <v>4058.54</v>
      </c>
      <c r="E9" s="6">
        <f>'Data Sheet'!E46</f>
        <v>4554.33</v>
      </c>
      <c r="F9" s="6">
        <f>'Data Sheet'!F46</f>
        <v>4894.7</v>
      </c>
      <c r="G9" s="6">
        <f>'Data Sheet'!G46</f>
        <v>5090.97</v>
      </c>
      <c r="H9" s="6">
        <f>'Data Sheet'!H46</f>
        <v>5181.49</v>
      </c>
      <c r="I9" s="6">
        <f>'Data Sheet'!I46</f>
        <v>5104.29</v>
      </c>
      <c r="J9" s="6">
        <f>'Data Sheet'!J46</f>
        <v>4724.72</v>
      </c>
      <c r="K9" s="6">
        <f>'Data Sheet'!K46</f>
        <v>5154.91</v>
      </c>
    </row>
    <row r="10" spans="1:11" x14ac:dyDescent="0.3">
      <c r="A10" t="s">
        <v>12</v>
      </c>
      <c r="B10" s="6">
        <f>'Data Sheet'!B47</f>
        <v>1492.81</v>
      </c>
      <c r="C10" s="6">
        <f>'Data Sheet'!C47</f>
        <v>1661.58</v>
      </c>
      <c r="D10" s="6">
        <f>'Data Sheet'!D47</f>
        <v>1714.28</v>
      </c>
      <c r="E10" s="6">
        <f>'Data Sheet'!E47</f>
        <v>1633.45</v>
      </c>
      <c r="F10" s="6">
        <f>'Data Sheet'!F47</f>
        <v>1285.24</v>
      </c>
      <c r="G10" s="6">
        <f>'Data Sheet'!G47</f>
        <v>1556.57</v>
      </c>
      <c r="H10" s="6">
        <f>'Data Sheet'!H47</f>
        <v>1549.87</v>
      </c>
      <c r="I10" s="6">
        <f>'Data Sheet'!I47</f>
        <v>1598.93</v>
      </c>
      <c r="J10" s="6">
        <f>'Data Sheet'!J47</f>
        <v>1717.32</v>
      </c>
      <c r="K10" s="6">
        <f>'Data Sheet'!K47</f>
        <v>1576.83</v>
      </c>
    </row>
    <row r="11" spans="1:11" x14ac:dyDescent="0.3">
      <c r="A11" t="s">
        <v>13</v>
      </c>
      <c r="B11" s="6">
        <f>'Data Sheet'!B48</f>
        <v>0.32</v>
      </c>
      <c r="C11" s="6">
        <f>'Data Sheet'!C48</f>
        <v>0</v>
      </c>
      <c r="D11" s="6">
        <f>'Data Sheet'!D48</f>
        <v>0</v>
      </c>
      <c r="E11" s="6">
        <f>'Data Sheet'!E48</f>
        <v>0</v>
      </c>
      <c r="F11" s="6">
        <f>'Data Sheet'!F48</f>
        <v>0</v>
      </c>
      <c r="G11" s="6">
        <f>'Data Sheet'!G48</f>
        <v>0</v>
      </c>
      <c r="H11" s="6">
        <f>'Data Sheet'!H48</f>
        <v>0</v>
      </c>
      <c r="I11" s="6">
        <f>'Data Sheet'!I48</f>
        <v>0</v>
      </c>
      <c r="J11" s="6">
        <f>'Data Sheet'!J48</f>
        <v>0</v>
      </c>
      <c r="K11" s="6">
        <f>'Data Sheet'!K48</f>
        <v>0</v>
      </c>
    </row>
    <row r="12" spans="1:11" s="2" customFormat="1" x14ac:dyDescent="0.3">
      <c r="A12" s="2" t="s">
        <v>14</v>
      </c>
      <c r="B12" s="1">
        <f>'Data Sheet'!B49</f>
        <v>1492.5</v>
      </c>
      <c r="C12" s="1">
        <f>'Data Sheet'!C49</f>
        <v>1661.58</v>
      </c>
      <c r="D12" s="1">
        <f>'Data Sheet'!D49</f>
        <v>1714.28</v>
      </c>
      <c r="E12" s="1">
        <f>'Data Sheet'!E49</f>
        <v>1633.45</v>
      </c>
      <c r="F12" s="1">
        <f>'Data Sheet'!F49</f>
        <v>1285.24</v>
      </c>
      <c r="G12" s="1">
        <f>'Data Sheet'!G49</f>
        <v>1556.57</v>
      </c>
      <c r="H12" s="1">
        <f>'Data Sheet'!H49</f>
        <v>1549.87</v>
      </c>
      <c r="I12" s="1">
        <f>'Data Sheet'!I49</f>
        <v>1598.93</v>
      </c>
      <c r="J12" s="1">
        <f>'Data Sheet'!J49</f>
        <v>1717.32</v>
      </c>
      <c r="K12" s="1">
        <f>'Data Sheet'!K49</f>
        <v>1576.83</v>
      </c>
    </row>
    <row r="14" spans="1:11" s="2" customFormat="1" x14ac:dyDescent="0.3">
      <c r="A14" s="2" t="s">
        <v>18</v>
      </c>
      <c r="B14" s="10">
        <f>IF(B4&gt;0,B6/B4,"")</f>
        <v>0.9861018389269891</v>
      </c>
      <c r="C14" s="10">
        <f t="shared" ref="C14:K14" si="0">IF(C4&gt;0,C6/C4,"")</f>
        <v>0.99595908619194518</v>
      </c>
      <c r="D14" s="10">
        <f t="shared" si="0"/>
        <v>0.99413749182415911</v>
      </c>
      <c r="E14" s="10">
        <f t="shared" si="0"/>
        <v>0.99509335649153274</v>
      </c>
      <c r="F14" s="10">
        <f t="shared" si="0"/>
        <v>0.9924104216647669</v>
      </c>
      <c r="G14" s="10">
        <f t="shared" si="0"/>
        <v>0.99561921616009175</v>
      </c>
      <c r="H14" s="10">
        <f t="shared" si="0"/>
        <v>0.99497977575247942</v>
      </c>
      <c r="I14" s="10">
        <f t="shared" si="0"/>
        <v>0.99473473265445478</v>
      </c>
      <c r="J14" s="10">
        <f t="shared" si="0"/>
        <v>0.99471388231514035</v>
      </c>
      <c r="K14" s="10">
        <f t="shared" si="0"/>
        <v>0.9951682252798334</v>
      </c>
    </row>
    <row r="22" s="19" customFormat="1" x14ac:dyDescent="0.3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K8"/>
  <sheetViews>
    <sheetView zoomScaleNormal="100" zoomScalePageLayoutView="150" workbookViewId="0">
      <pane xSplit="1" ySplit="3" topLeftCell="B7" activePane="bottomRight" state="frozen"/>
      <selection pane="topRight" activeCell="B1" sqref="B1"/>
      <selection pane="bottomLeft" activeCell="A4" sqref="A4"/>
      <selection pane="bottomRight" activeCell="E15" sqref="E15"/>
    </sheetView>
  </sheetViews>
  <sheetFormatPr defaultColWidth="8.77734375" defaultRowHeight="14.4" x14ac:dyDescent="0.3"/>
  <cols>
    <col min="1" max="1" width="26.77734375" bestFit="1" customWidth="1"/>
    <col min="2" max="6" width="13.44140625" customWidth="1"/>
    <col min="7" max="11" width="13.44140625" bestFit="1" customWidth="1"/>
  </cols>
  <sheetData>
    <row r="1" spans="1:11" s="2" customFormat="1" x14ac:dyDescent="0.3">
      <c r="A1" s="2" t="str">
        <f>'Balance Sheet'!A1</f>
        <v>INDIAN RAILWAY FINANCE CORPORATION LTD</v>
      </c>
      <c r="E1" t="str">
        <f>UPDATE</f>
        <v/>
      </c>
      <c r="F1"/>
      <c r="J1" s="2" t="s">
        <v>1</v>
      </c>
    </row>
    <row r="3" spans="1:11" s="2" customFormat="1" x14ac:dyDescent="0.3">
      <c r="A3" s="11" t="s">
        <v>2</v>
      </c>
      <c r="B3" s="12">
        <f>'Data Sheet'!B81</f>
        <v>42094</v>
      </c>
      <c r="C3" s="12">
        <f>'Data Sheet'!C81</f>
        <v>42460</v>
      </c>
      <c r="D3" s="12">
        <f>'Data Sheet'!D81</f>
        <v>42825</v>
      </c>
      <c r="E3" s="12">
        <f>'Data Sheet'!E81</f>
        <v>43190</v>
      </c>
      <c r="F3" s="12">
        <f>'Data Sheet'!F81</f>
        <v>43555</v>
      </c>
      <c r="G3" s="12">
        <f>'Data Sheet'!G81</f>
        <v>43921</v>
      </c>
      <c r="H3" s="12">
        <f>'Data Sheet'!H81</f>
        <v>44286</v>
      </c>
      <c r="I3" s="12">
        <f>'Data Sheet'!I81</f>
        <v>44651</v>
      </c>
      <c r="J3" s="12">
        <f>'Data Sheet'!J81</f>
        <v>45016</v>
      </c>
      <c r="K3" s="12">
        <f>'Data Sheet'!K81</f>
        <v>45382</v>
      </c>
    </row>
    <row r="4" spans="1:11" s="2" customFormat="1" x14ac:dyDescent="0.3">
      <c r="A4" s="2" t="s">
        <v>32</v>
      </c>
      <c r="B4" s="1">
        <f>'Data Sheet'!B82</f>
        <v>0</v>
      </c>
      <c r="C4" s="1">
        <f>'Data Sheet'!C82</f>
        <v>-16377.5</v>
      </c>
      <c r="D4" s="1">
        <f>'Data Sheet'!D82</f>
        <v>-19455.18</v>
      </c>
      <c r="E4" s="1">
        <f>'Data Sheet'!E82</f>
        <v>-28076.12</v>
      </c>
      <c r="F4" s="1">
        <f>'Data Sheet'!F82</f>
        <v>-41748.19</v>
      </c>
      <c r="G4" s="1">
        <f>'Data Sheet'!G82</f>
        <v>-62700.61</v>
      </c>
      <c r="H4" s="1">
        <f>'Data Sheet'!H82</f>
        <v>-89906.65</v>
      </c>
      <c r="I4" s="1">
        <f>'Data Sheet'!I82</f>
        <v>-64412.28</v>
      </c>
      <c r="J4" s="1">
        <f>'Data Sheet'!J82</f>
        <v>-28588.36</v>
      </c>
      <c r="K4" s="1">
        <f>'Data Sheet'!K82</f>
        <v>7914.1</v>
      </c>
    </row>
    <row r="5" spans="1:11" x14ac:dyDescent="0.3">
      <c r="A5" t="s">
        <v>33</v>
      </c>
      <c r="B5" s="6">
        <f>'Data Sheet'!B83</f>
        <v>0</v>
      </c>
      <c r="C5" s="6">
        <f>'Data Sheet'!C83</f>
        <v>1.94</v>
      </c>
      <c r="D5" s="6">
        <f>'Data Sheet'!D83</f>
        <v>1.79</v>
      </c>
      <c r="E5" s="6">
        <f>'Data Sheet'!E83</f>
        <v>1.67</v>
      </c>
      <c r="F5" s="6">
        <f>'Data Sheet'!F83</f>
        <v>1.31</v>
      </c>
      <c r="G5" s="6">
        <f>'Data Sheet'!G83</f>
        <v>1.47</v>
      </c>
      <c r="H5" s="6">
        <f>'Data Sheet'!H83</f>
        <v>0.42</v>
      </c>
      <c r="I5" s="6">
        <f>'Data Sheet'!I83</f>
        <v>-4.72</v>
      </c>
      <c r="J5" s="6">
        <f>'Data Sheet'!J83</f>
        <v>0.09</v>
      </c>
      <c r="K5" s="6">
        <f>'Data Sheet'!K83</f>
        <v>-7.54</v>
      </c>
    </row>
    <row r="6" spans="1:11" x14ac:dyDescent="0.3">
      <c r="A6" t="s">
        <v>34</v>
      </c>
      <c r="B6" s="6">
        <f>'Data Sheet'!B84</f>
        <v>0</v>
      </c>
      <c r="C6" s="6">
        <f>'Data Sheet'!C84</f>
        <v>17581.7</v>
      </c>
      <c r="D6" s="6">
        <f>'Data Sheet'!D84</f>
        <v>18249.71</v>
      </c>
      <c r="E6" s="6">
        <f>'Data Sheet'!E84</f>
        <v>28074.63</v>
      </c>
      <c r="F6" s="6">
        <f>'Data Sheet'!F84</f>
        <v>41749.449999999997</v>
      </c>
      <c r="G6" s="6">
        <f>'Data Sheet'!G84</f>
        <v>62696.81</v>
      </c>
      <c r="H6" s="6">
        <f>'Data Sheet'!H84</f>
        <v>90202.04</v>
      </c>
      <c r="I6" s="6">
        <f>'Data Sheet'!I84</f>
        <v>64266.3</v>
      </c>
      <c r="J6" s="6">
        <f>'Data Sheet'!J84</f>
        <v>28644.48</v>
      </c>
      <c r="K6" s="6">
        <f>'Data Sheet'!K84</f>
        <v>-8046.42</v>
      </c>
    </row>
    <row r="7" spans="1:11" s="2" customFormat="1" x14ac:dyDescent="0.3">
      <c r="A7" s="2" t="s">
        <v>35</v>
      </c>
      <c r="B7" s="1">
        <f>'Data Sheet'!B85</f>
        <v>0</v>
      </c>
      <c r="C7" s="1">
        <f>'Data Sheet'!C85</f>
        <v>1206.1400000000001</v>
      </c>
      <c r="D7" s="1">
        <f>'Data Sheet'!D85</f>
        <v>-1203.69</v>
      </c>
      <c r="E7" s="1">
        <f>'Data Sheet'!E85</f>
        <v>0.18</v>
      </c>
      <c r="F7" s="1">
        <f>'Data Sheet'!F85</f>
        <v>2.58</v>
      </c>
      <c r="G7" s="1">
        <f>'Data Sheet'!G85</f>
        <v>-2.33</v>
      </c>
      <c r="H7" s="1">
        <f>'Data Sheet'!H85</f>
        <v>295.81</v>
      </c>
      <c r="I7" s="1">
        <f>'Data Sheet'!I85</f>
        <v>-150.69999999999999</v>
      </c>
      <c r="J7" s="1">
        <f>'Data Sheet'!J85</f>
        <v>56.21</v>
      </c>
      <c r="K7" s="1">
        <f>'Data Sheet'!K85</f>
        <v>-139.87</v>
      </c>
    </row>
    <row r="8" spans="1:11" x14ac:dyDescent="0.3">
      <c r="B8" s="6"/>
      <c r="C8" s="6"/>
      <c r="D8" s="6"/>
      <c r="E8" s="6"/>
      <c r="F8" s="6"/>
      <c r="G8" s="6"/>
      <c r="H8" s="6"/>
      <c r="I8" s="6"/>
      <c r="J8" s="6"/>
      <c r="K8" s="6"/>
    </row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93"/>
  <sheetViews>
    <sheetView tabSelected="1" zoomScale="147" zoomScaleNormal="147" zoomScalePageLayoutView="120" workbookViewId="0">
      <pane xSplit="1" ySplit="1" topLeftCell="E51" activePane="bottomRight" state="frozen"/>
      <selection activeCell="C4" sqref="C4"/>
      <selection pane="topRight" activeCell="C4" sqref="C4"/>
      <selection pane="bottomLeft" activeCell="C4" sqref="C4"/>
      <selection pane="bottomRight" activeCell="A55" sqref="A55:K72"/>
    </sheetView>
  </sheetViews>
  <sheetFormatPr defaultColWidth="8.77734375" defaultRowHeight="14.4" x14ac:dyDescent="0.3"/>
  <cols>
    <col min="1" max="1" width="27.6640625" style="4" bestFit="1" customWidth="1"/>
    <col min="2" max="11" width="13.44140625" style="4" bestFit="1" customWidth="1"/>
    <col min="12" max="16384" width="8.77734375" style="4"/>
  </cols>
  <sheetData>
    <row r="1" spans="1:11" s="1" customFormat="1" x14ac:dyDescent="0.3">
      <c r="A1" s="1" t="s">
        <v>0</v>
      </c>
      <c r="B1" s="1" t="s">
        <v>54</v>
      </c>
      <c r="E1" s="21" t="str">
        <f>IF(B2&lt;&gt;B3, "A NEW VERSION OF THE WORKSHEET IS AVAILABLE", "")</f>
        <v/>
      </c>
      <c r="F1" s="21"/>
      <c r="G1" s="21"/>
      <c r="H1" s="21"/>
      <c r="I1" s="21"/>
      <c r="J1" s="21"/>
      <c r="K1" s="21"/>
    </row>
    <row r="2" spans="1:11" x14ac:dyDescent="0.3">
      <c r="A2" s="1" t="s">
        <v>52</v>
      </c>
      <c r="B2" s="4">
        <v>2.1</v>
      </c>
      <c r="E2" s="22" t="s">
        <v>36</v>
      </c>
      <c r="F2" s="22"/>
      <c r="G2" s="22"/>
      <c r="H2" s="22"/>
      <c r="I2" s="22"/>
      <c r="J2" s="22"/>
      <c r="K2" s="22"/>
    </row>
    <row r="3" spans="1:11" x14ac:dyDescent="0.3">
      <c r="A3" s="1" t="s">
        <v>53</v>
      </c>
      <c r="B3" s="4">
        <v>2.1</v>
      </c>
    </row>
    <row r="4" spans="1:11" x14ac:dyDescent="0.3">
      <c r="A4" s="1"/>
    </row>
    <row r="5" spans="1:11" x14ac:dyDescent="0.3">
      <c r="A5" s="1" t="s">
        <v>55</v>
      </c>
    </row>
    <row r="6" spans="1:11" x14ac:dyDescent="0.3">
      <c r="A6" s="4" t="s">
        <v>42</v>
      </c>
      <c r="B6" s="4">
        <f>IF(B9&gt;0, B9/B8, 0)</f>
        <v>1306.8505905511811</v>
      </c>
    </row>
    <row r="7" spans="1:11" x14ac:dyDescent="0.3">
      <c r="A7" s="4" t="s">
        <v>31</v>
      </c>
      <c r="B7">
        <v>10</v>
      </c>
    </row>
    <row r="8" spans="1:11" x14ac:dyDescent="0.3">
      <c r="A8" s="4" t="s">
        <v>43</v>
      </c>
      <c r="B8">
        <v>152.4</v>
      </c>
    </row>
    <row r="9" spans="1:11" x14ac:dyDescent="0.3">
      <c r="A9" s="4" t="s">
        <v>70</v>
      </c>
      <c r="B9">
        <v>199164.03</v>
      </c>
    </row>
    <row r="15" spans="1:11" x14ac:dyDescent="0.3">
      <c r="A15" s="1" t="s">
        <v>37</v>
      </c>
    </row>
    <row r="16" spans="1:11" s="18" customFormat="1" x14ac:dyDescent="0.3">
      <c r="A16" s="17" t="s">
        <v>38</v>
      </c>
      <c r="B16" s="12">
        <v>42094</v>
      </c>
      <c r="C16" s="12">
        <v>42460</v>
      </c>
      <c r="D16" s="12">
        <v>42825</v>
      </c>
      <c r="E16" s="12">
        <v>43190</v>
      </c>
      <c r="F16" s="12">
        <v>43555</v>
      </c>
      <c r="G16" s="12">
        <v>43921</v>
      </c>
      <c r="H16" s="12">
        <v>44286</v>
      </c>
      <c r="I16" s="12">
        <v>44651</v>
      </c>
      <c r="J16" s="12">
        <v>45016</v>
      </c>
      <c r="K16" s="12">
        <v>45382</v>
      </c>
    </row>
    <row r="17" spans="1:11" s="6" customFormat="1" x14ac:dyDescent="0.3">
      <c r="A17" s="6" t="s">
        <v>6</v>
      </c>
      <c r="B17">
        <v>6939.19</v>
      </c>
      <c r="C17">
        <v>7506.69</v>
      </c>
      <c r="D17">
        <v>9047.3799999999992</v>
      </c>
      <c r="E17">
        <v>9267.14</v>
      </c>
      <c r="F17">
        <v>11133.59</v>
      </c>
      <c r="G17">
        <v>13421.02</v>
      </c>
      <c r="H17">
        <v>15770.51</v>
      </c>
      <c r="I17">
        <v>20299.38</v>
      </c>
      <c r="J17">
        <v>23722.09</v>
      </c>
      <c r="K17">
        <v>26645.47</v>
      </c>
    </row>
    <row r="18" spans="1:11" s="6" customFormat="1" x14ac:dyDescent="0.3">
      <c r="A18" s="4" t="s">
        <v>71</v>
      </c>
    </row>
    <row r="19" spans="1:11" s="6" customFormat="1" x14ac:dyDescent="0.3">
      <c r="A19" s="4" t="s">
        <v>72</v>
      </c>
    </row>
    <row r="20" spans="1:11" s="6" customFormat="1" x14ac:dyDescent="0.3">
      <c r="A20" s="4" t="s">
        <v>73</v>
      </c>
      <c r="B20">
        <v>0.21</v>
      </c>
      <c r="C20">
        <v>0.2</v>
      </c>
      <c r="D20">
        <v>0.22</v>
      </c>
      <c r="E20">
        <v>0.24</v>
      </c>
      <c r="F20">
        <v>0.22</v>
      </c>
      <c r="G20">
        <v>0.26</v>
      </c>
      <c r="H20">
        <v>0.24</v>
      </c>
      <c r="I20">
        <v>0.21</v>
      </c>
      <c r="J20">
        <v>0.23</v>
      </c>
      <c r="K20">
        <v>0.25</v>
      </c>
    </row>
    <row r="21" spans="1:11" s="6" customFormat="1" x14ac:dyDescent="0.3">
      <c r="A21" s="4" t="s">
        <v>74</v>
      </c>
      <c r="G21">
        <v>2.08</v>
      </c>
      <c r="H21">
        <v>2.62</v>
      </c>
      <c r="I21">
        <v>3.95</v>
      </c>
      <c r="J21">
        <v>3.92</v>
      </c>
      <c r="K21">
        <v>3.97</v>
      </c>
    </row>
    <row r="22" spans="1:11" s="6" customFormat="1" x14ac:dyDescent="0.3">
      <c r="A22" s="4" t="s">
        <v>75</v>
      </c>
      <c r="B22">
        <v>3.1</v>
      </c>
      <c r="C22">
        <v>4.09</v>
      </c>
      <c r="D22">
        <v>3</v>
      </c>
      <c r="E22">
        <v>5.53</v>
      </c>
      <c r="F22">
        <v>6.47</v>
      </c>
      <c r="G22">
        <v>6.5</v>
      </c>
      <c r="H22">
        <v>8.01</v>
      </c>
      <c r="I22">
        <v>11.12</v>
      </c>
      <c r="J22">
        <v>13.25</v>
      </c>
      <c r="K22">
        <v>11.34</v>
      </c>
    </row>
    <row r="23" spans="1:11" s="6" customFormat="1" x14ac:dyDescent="0.3">
      <c r="A23" s="4" t="s">
        <v>76</v>
      </c>
      <c r="B23">
        <v>29.93</v>
      </c>
      <c r="C23">
        <v>33.130000000000003</v>
      </c>
      <c r="D23">
        <v>21.98</v>
      </c>
      <c r="E23">
        <v>6.94</v>
      </c>
      <c r="F23">
        <v>4.68</v>
      </c>
      <c r="G23">
        <v>4.08</v>
      </c>
      <c r="H23">
        <v>5.04</v>
      </c>
      <c r="I23">
        <v>6.87</v>
      </c>
      <c r="J23">
        <v>8.1300000000000008</v>
      </c>
      <c r="K23">
        <v>7.19</v>
      </c>
    </row>
    <row r="24" spans="1:11" s="6" customFormat="1" x14ac:dyDescent="0.3">
      <c r="A24" s="4" t="s">
        <v>77</v>
      </c>
      <c r="B24">
        <v>0.47</v>
      </c>
      <c r="C24">
        <v>0.78</v>
      </c>
      <c r="D24">
        <v>0.69</v>
      </c>
      <c r="E24">
        <v>25.23</v>
      </c>
      <c r="F24">
        <v>37.1</v>
      </c>
      <c r="G24">
        <v>52.91</v>
      </c>
      <c r="H24">
        <v>97.32</v>
      </c>
      <c r="I24">
        <v>100.49</v>
      </c>
      <c r="J24">
        <v>108.79</v>
      </c>
      <c r="K24">
        <v>110.11</v>
      </c>
    </row>
    <row r="25" spans="1:11" s="6" customFormat="1" x14ac:dyDescent="0.3">
      <c r="A25" s="6" t="s">
        <v>9</v>
      </c>
      <c r="B25">
        <v>0.97</v>
      </c>
      <c r="C25">
        <v>0.61</v>
      </c>
      <c r="D25">
        <v>0.26</v>
      </c>
      <c r="E25">
        <v>1.23</v>
      </c>
      <c r="F25">
        <v>-0.02</v>
      </c>
      <c r="G25">
        <v>0.06</v>
      </c>
      <c r="H25">
        <v>0.33</v>
      </c>
      <c r="I25">
        <v>2.2200000000000002</v>
      </c>
      <c r="J25">
        <v>40.659999999999997</v>
      </c>
      <c r="K25">
        <v>10.41</v>
      </c>
    </row>
    <row r="26" spans="1:11" s="6" customFormat="1" x14ac:dyDescent="0.3">
      <c r="A26" s="6" t="s">
        <v>10</v>
      </c>
      <c r="B26">
        <v>0.44</v>
      </c>
      <c r="C26">
        <v>0.35</v>
      </c>
      <c r="D26">
        <v>0.35</v>
      </c>
      <c r="E26">
        <v>0.35</v>
      </c>
      <c r="F26">
        <v>0.42</v>
      </c>
      <c r="G26">
        <v>0.46</v>
      </c>
      <c r="H26">
        <v>4.43</v>
      </c>
      <c r="I26">
        <v>14.03</v>
      </c>
      <c r="J26">
        <v>14.06</v>
      </c>
      <c r="K26">
        <v>9.44</v>
      </c>
    </row>
    <row r="27" spans="1:11" s="6" customFormat="1" x14ac:dyDescent="0.3">
      <c r="A27" s="6" t="s">
        <v>11</v>
      </c>
      <c r="B27">
        <v>4991.83</v>
      </c>
      <c r="C27">
        <v>5518.84</v>
      </c>
      <c r="D27">
        <v>6888.13</v>
      </c>
      <c r="E27">
        <v>6637.59</v>
      </c>
      <c r="F27">
        <v>8183.1</v>
      </c>
      <c r="G27">
        <v>10162.700000000001</v>
      </c>
      <c r="H27">
        <v>11237.05</v>
      </c>
      <c r="I27">
        <v>14074.78</v>
      </c>
      <c r="J27">
        <v>17447.21</v>
      </c>
      <c r="K27">
        <v>20101.47</v>
      </c>
    </row>
    <row r="28" spans="1:11" s="6" customFormat="1" x14ac:dyDescent="0.3">
      <c r="A28" s="6" t="s">
        <v>12</v>
      </c>
      <c r="B28">
        <v>1914.18</v>
      </c>
      <c r="C28">
        <v>1949.91</v>
      </c>
      <c r="D28">
        <v>2133.27</v>
      </c>
      <c r="E28">
        <v>2592.4899999999998</v>
      </c>
      <c r="F28">
        <v>2901.58</v>
      </c>
      <c r="G28">
        <v>3192.09</v>
      </c>
      <c r="H28">
        <v>4416.13</v>
      </c>
      <c r="I28">
        <v>6090.15</v>
      </c>
      <c r="J28">
        <v>6167.16</v>
      </c>
      <c r="K28">
        <v>6412.11</v>
      </c>
    </row>
    <row r="29" spans="1:11" s="6" customFormat="1" x14ac:dyDescent="0.3">
      <c r="A29" s="6" t="s">
        <v>13</v>
      </c>
      <c r="B29">
        <v>1155.8800000000001</v>
      </c>
      <c r="C29">
        <v>1101.22</v>
      </c>
      <c r="D29">
        <v>1199.46</v>
      </c>
      <c r="E29">
        <v>537.83000000000004</v>
      </c>
      <c r="F29">
        <v>646.84</v>
      </c>
      <c r="I29">
        <v>0.32</v>
      </c>
    </row>
    <row r="30" spans="1:11" s="6" customFormat="1" x14ac:dyDescent="0.3">
      <c r="A30" s="6" t="s">
        <v>14</v>
      </c>
      <c r="B30">
        <v>758.3</v>
      </c>
      <c r="C30">
        <v>848.69</v>
      </c>
      <c r="D30">
        <v>933.81</v>
      </c>
      <c r="E30">
        <v>2054.66</v>
      </c>
      <c r="F30">
        <v>2254.75</v>
      </c>
      <c r="G30">
        <v>3192.1</v>
      </c>
      <c r="H30">
        <v>4416.13</v>
      </c>
      <c r="I30">
        <v>6089.84</v>
      </c>
      <c r="J30">
        <v>6167.16</v>
      </c>
      <c r="K30">
        <v>6412.1</v>
      </c>
    </row>
    <row r="31" spans="1:11" s="6" customFormat="1" x14ac:dyDescent="0.3">
      <c r="A31" s="6" t="s">
        <v>61</v>
      </c>
      <c r="B31">
        <v>151.96</v>
      </c>
      <c r="C31">
        <v>339.48</v>
      </c>
      <c r="D31">
        <v>373.31</v>
      </c>
      <c r="E31">
        <v>375.27</v>
      </c>
      <c r="F31">
        <v>399.61</v>
      </c>
      <c r="H31">
        <v>1372.19</v>
      </c>
      <c r="I31">
        <v>1829.59</v>
      </c>
      <c r="J31">
        <v>1960.28</v>
      </c>
      <c r="K31">
        <v>1960.28</v>
      </c>
    </row>
    <row r="32" spans="1:11" s="6" customFormat="1" x14ac:dyDescent="0.3"/>
    <row r="33" spans="1:11" x14ac:dyDescent="0.3">
      <c r="A33" s="6"/>
    </row>
    <row r="34" spans="1:11" x14ac:dyDescent="0.3">
      <c r="A34" s="6"/>
    </row>
    <row r="35" spans="1:11" x14ac:dyDescent="0.3">
      <c r="A35" s="6"/>
    </row>
    <row r="36" spans="1:11" x14ac:dyDescent="0.3">
      <c r="A36" s="6"/>
    </row>
    <row r="37" spans="1:11" x14ac:dyDescent="0.3">
      <c r="A37" s="6"/>
    </row>
    <row r="38" spans="1:11" x14ac:dyDescent="0.3">
      <c r="A38" s="6"/>
    </row>
    <row r="39" spans="1:11" x14ac:dyDescent="0.3">
      <c r="A39" s="6"/>
    </row>
    <row r="40" spans="1:11" x14ac:dyDescent="0.3">
      <c r="A40" s="1" t="s">
        <v>39</v>
      </c>
    </row>
    <row r="41" spans="1:11" s="18" customFormat="1" x14ac:dyDescent="0.3">
      <c r="A41" s="17" t="s">
        <v>38</v>
      </c>
      <c r="B41" s="12">
        <v>44651</v>
      </c>
      <c r="C41" s="12">
        <v>44742</v>
      </c>
      <c r="D41" s="12">
        <v>44834</v>
      </c>
      <c r="E41" s="12">
        <v>44926</v>
      </c>
      <c r="F41" s="12">
        <v>45016</v>
      </c>
      <c r="G41" s="12">
        <v>45107</v>
      </c>
      <c r="H41" s="12">
        <v>45199</v>
      </c>
      <c r="I41" s="12">
        <v>45291</v>
      </c>
      <c r="J41" s="12">
        <v>45382</v>
      </c>
      <c r="K41" s="12">
        <v>45473</v>
      </c>
    </row>
    <row r="42" spans="1:11" s="6" customFormat="1" x14ac:dyDescent="0.3">
      <c r="A42" s="6" t="s">
        <v>6</v>
      </c>
      <c r="B42">
        <v>5931.72</v>
      </c>
      <c r="C42">
        <v>5627.44</v>
      </c>
      <c r="D42">
        <v>5809.8</v>
      </c>
      <c r="E42">
        <v>6218.1</v>
      </c>
      <c r="F42">
        <v>6194.02</v>
      </c>
      <c r="G42">
        <v>6679.17</v>
      </c>
      <c r="H42">
        <v>6766.63</v>
      </c>
      <c r="I42">
        <v>6736.6</v>
      </c>
      <c r="J42">
        <v>6473.56</v>
      </c>
      <c r="K42">
        <v>6765.63</v>
      </c>
    </row>
    <row r="43" spans="1:11" s="6" customFormat="1" x14ac:dyDescent="0.3">
      <c r="A43" s="6" t="s">
        <v>7</v>
      </c>
      <c r="B43">
        <v>82.44</v>
      </c>
      <c r="C43">
        <v>22.74</v>
      </c>
      <c r="D43">
        <v>34.06</v>
      </c>
      <c r="E43">
        <v>30.51</v>
      </c>
      <c r="F43">
        <v>47.01</v>
      </c>
      <c r="G43">
        <v>29.26</v>
      </c>
      <c r="H43">
        <v>33.97</v>
      </c>
      <c r="I43">
        <v>35.47</v>
      </c>
      <c r="J43">
        <v>34.22</v>
      </c>
      <c r="K43">
        <v>32.69</v>
      </c>
    </row>
    <row r="44" spans="1:11" s="6" customFormat="1" x14ac:dyDescent="0.3">
      <c r="A44" s="6" t="s">
        <v>9</v>
      </c>
      <c r="B44">
        <v>1.08</v>
      </c>
      <c r="C44">
        <v>0.03</v>
      </c>
      <c r="D44">
        <v>0.59</v>
      </c>
      <c r="E44">
        <v>3.92</v>
      </c>
      <c r="F44">
        <v>36.25</v>
      </c>
      <c r="G44">
        <v>1.86</v>
      </c>
      <c r="H44">
        <v>0.85</v>
      </c>
      <c r="I44">
        <v>3.42</v>
      </c>
      <c r="J44">
        <v>4.43</v>
      </c>
      <c r="K44">
        <v>0.39</v>
      </c>
    </row>
    <row r="45" spans="1:11" s="6" customFormat="1" x14ac:dyDescent="0.3">
      <c r="A45" s="6" t="s">
        <v>10</v>
      </c>
      <c r="B45">
        <v>4.72</v>
      </c>
      <c r="C45">
        <v>3.51</v>
      </c>
      <c r="D45">
        <v>3.51</v>
      </c>
      <c r="E45">
        <v>3.73</v>
      </c>
      <c r="F45">
        <v>3.32</v>
      </c>
      <c r="G45">
        <v>4.2300000000000004</v>
      </c>
      <c r="H45">
        <v>2.15</v>
      </c>
      <c r="I45">
        <v>1.33</v>
      </c>
      <c r="J45">
        <v>1.73</v>
      </c>
      <c r="K45">
        <v>1.59</v>
      </c>
    </row>
    <row r="46" spans="1:11" s="6" customFormat="1" x14ac:dyDescent="0.3">
      <c r="A46" s="6" t="s">
        <v>11</v>
      </c>
      <c r="B46">
        <v>4352.83</v>
      </c>
      <c r="C46">
        <v>3939.64</v>
      </c>
      <c r="D46">
        <v>4058.54</v>
      </c>
      <c r="E46">
        <v>4554.33</v>
      </c>
      <c r="F46">
        <v>4894.7</v>
      </c>
      <c r="G46">
        <v>5090.97</v>
      </c>
      <c r="H46">
        <v>5181.49</v>
      </c>
      <c r="I46">
        <v>5104.29</v>
      </c>
      <c r="J46">
        <v>4724.72</v>
      </c>
      <c r="K46">
        <v>5154.91</v>
      </c>
    </row>
    <row r="47" spans="1:11" s="6" customFormat="1" x14ac:dyDescent="0.3">
      <c r="A47" s="6" t="s">
        <v>12</v>
      </c>
      <c r="B47">
        <v>1492.81</v>
      </c>
      <c r="C47">
        <v>1661.58</v>
      </c>
      <c r="D47">
        <v>1714.28</v>
      </c>
      <c r="E47">
        <v>1633.45</v>
      </c>
      <c r="F47">
        <v>1285.24</v>
      </c>
      <c r="G47">
        <v>1556.57</v>
      </c>
      <c r="H47">
        <v>1549.87</v>
      </c>
      <c r="I47">
        <v>1598.93</v>
      </c>
      <c r="J47">
        <v>1717.32</v>
      </c>
      <c r="K47">
        <v>1576.83</v>
      </c>
    </row>
    <row r="48" spans="1:11" s="6" customFormat="1" x14ac:dyDescent="0.3">
      <c r="A48" s="6" t="s">
        <v>13</v>
      </c>
      <c r="B48">
        <v>0.32</v>
      </c>
    </row>
    <row r="49" spans="1:11" s="6" customFormat="1" x14ac:dyDescent="0.3">
      <c r="A49" s="6" t="s">
        <v>14</v>
      </c>
      <c r="B49">
        <v>1492.5</v>
      </c>
      <c r="C49">
        <v>1661.58</v>
      </c>
      <c r="D49">
        <v>1714.28</v>
      </c>
      <c r="E49">
        <v>1633.45</v>
      </c>
      <c r="F49">
        <v>1285.24</v>
      </c>
      <c r="G49">
        <v>1556.57</v>
      </c>
      <c r="H49">
        <v>1549.87</v>
      </c>
      <c r="I49">
        <v>1598.93</v>
      </c>
      <c r="J49">
        <v>1717.32</v>
      </c>
      <c r="K49">
        <v>1576.83</v>
      </c>
    </row>
    <row r="50" spans="1:11" x14ac:dyDescent="0.3">
      <c r="A50" s="6" t="s">
        <v>8</v>
      </c>
      <c r="B50">
        <v>5849.28</v>
      </c>
      <c r="C50">
        <v>5604.7</v>
      </c>
      <c r="D50">
        <v>5775.74</v>
      </c>
      <c r="E50">
        <v>6187.59</v>
      </c>
      <c r="F50">
        <v>6147.01</v>
      </c>
      <c r="G50">
        <v>6649.91</v>
      </c>
      <c r="H50">
        <v>6732.66</v>
      </c>
      <c r="I50">
        <v>6701.13</v>
      </c>
      <c r="J50">
        <v>6439.34</v>
      </c>
      <c r="K50">
        <v>6732.94</v>
      </c>
    </row>
    <row r="51" spans="1:11" x14ac:dyDescent="0.3">
      <c r="A51" s="6"/>
    </row>
    <row r="52" spans="1:11" x14ac:dyDescent="0.3">
      <c r="A52" s="6"/>
    </row>
    <row r="53" spans="1:11" x14ac:dyDescent="0.3">
      <c r="A53" s="6"/>
    </row>
    <row r="54" spans="1:11" x14ac:dyDescent="0.3">
      <c r="A54" s="6"/>
    </row>
    <row r="55" spans="1:11" x14ac:dyDescent="0.3">
      <c r="A55" s="1" t="s">
        <v>40</v>
      </c>
    </row>
    <row r="56" spans="1:11" s="18" customFormat="1" x14ac:dyDescent="0.3">
      <c r="A56" s="17" t="s">
        <v>38</v>
      </c>
      <c r="B56" s="12">
        <v>42094</v>
      </c>
      <c r="C56" s="12">
        <v>42460</v>
      </c>
      <c r="D56" s="12">
        <v>42825</v>
      </c>
      <c r="E56" s="12">
        <v>43190</v>
      </c>
      <c r="F56" s="12">
        <v>43555</v>
      </c>
      <c r="G56" s="12">
        <v>43921</v>
      </c>
      <c r="H56" s="12">
        <v>44286</v>
      </c>
      <c r="I56" s="12">
        <v>44651</v>
      </c>
      <c r="J56" s="12">
        <v>45016</v>
      </c>
      <c r="K56" s="12">
        <v>45382</v>
      </c>
    </row>
    <row r="57" spans="1:11" x14ac:dyDescent="0.3">
      <c r="A57" s="6" t="s">
        <v>24</v>
      </c>
      <c r="B57">
        <v>3583.96</v>
      </c>
      <c r="C57">
        <v>4526.46</v>
      </c>
      <c r="D57">
        <v>6526.46</v>
      </c>
      <c r="E57">
        <v>6526.46</v>
      </c>
      <c r="F57">
        <v>9380.4599999999991</v>
      </c>
      <c r="G57">
        <v>11880.46</v>
      </c>
      <c r="H57">
        <v>13068.51</v>
      </c>
      <c r="I57">
        <v>13068.51</v>
      </c>
      <c r="J57">
        <v>13068.51</v>
      </c>
      <c r="K57">
        <v>13068.51</v>
      </c>
    </row>
    <row r="58" spans="1:11" x14ac:dyDescent="0.3">
      <c r="A58" s="6" t="s">
        <v>25</v>
      </c>
      <c r="B58">
        <v>5097.6499999999996</v>
      </c>
      <c r="C58">
        <v>6998.89</v>
      </c>
      <c r="D58">
        <v>5483.14</v>
      </c>
      <c r="E58">
        <v>7402.23</v>
      </c>
      <c r="F58">
        <v>15648.19</v>
      </c>
      <c r="G58">
        <v>18419.29</v>
      </c>
      <c r="H58">
        <v>22844.880000000001</v>
      </c>
      <c r="I58">
        <v>27927.83</v>
      </c>
      <c r="J58">
        <v>31611.68</v>
      </c>
      <c r="K58">
        <v>36110.06</v>
      </c>
    </row>
    <row r="59" spans="1:11" x14ac:dyDescent="0.3">
      <c r="A59" s="6" t="s">
        <v>62</v>
      </c>
      <c r="B59">
        <v>71269.63</v>
      </c>
      <c r="C59">
        <v>87503.18</v>
      </c>
      <c r="D59">
        <v>106394.86</v>
      </c>
      <c r="E59">
        <v>134005.53</v>
      </c>
      <c r="F59">
        <v>173932.67</v>
      </c>
      <c r="G59">
        <v>234376.72</v>
      </c>
      <c r="H59">
        <v>323145.26</v>
      </c>
      <c r="I59">
        <v>388439.97</v>
      </c>
      <c r="J59">
        <v>418934.9</v>
      </c>
      <c r="K59">
        <v>412038.52</v>
      </c>
    </row>
    <row r="60" spans="1:11" x14ac:dyDescent="0.3">
      <c r="A60" s="6" t="s">
        <v>63</v>
      </c>
      <c r="B60">
        <v>7695.75</v>
      </c>
      <c r="C60">
        <v>9371.86</v>
      </c>
      <c r="D60">
        <v>11245.17</v>
      </c>
      <c r="E60">
        <v>13534.1</v>
      </c>
      <c r="F60">
        <v>7642.29</v>
      </c>
      <c r="G60">
        <v>10827.66</v>
      </c>
      <c r="H60">
        <v>21422.87</v>
      </c>
      <c r="I60">
        <v>20543.91</v>
      </c>
      <c r="J60">
        <v>26743.66</v>
      </c>
      <c r="K60">
        <v>23865.34</v>
      </c>
    </row>
    <row r="61" spans="1:11" s="1" customFormat="1" x14ac:dyDescent="0.3">
      <c r="A61" s="1" t="s">
        <v>26</v>
      </c>
      <c r="B61">
        <v>87646.99</v>
      </c>
      <c r="C61">
        <v>108400.39</v>
      </c>
      <c r="D61">
        <v>129649.63</v>
      </c>
      <c r="E61">
        <v>161468.32</v>
      </c>
      <c r="F61">
        <v>206603.61</v>
      </c>
      <c r="G61">
        <v>275504.13</v>
      </c>
      <c r="H61">
        <v>380481.52</v>
      </c>
      <c r="I61">
        <v>449980.22</v>
      </c>
      <c r="J61">
        <v>490358.75</v>
      </c>
      <c r="K61">
        <v>485082.43</v>
      </c>
    </row>
    <row r="62" spans="1:11" x14ac:dyDescent="0.3">
      <c r="A62" s="6" t="s">
        <v>27</v>
      </c>
      <c r="B62">
        <v>12.01</v>
      </c>
      <c r="C62">
        <v>11.76</v>
      </c>
      <c r="D62">
        <v>11.52</v>
      </c>
      <c r="E62">
        <v>11.29</v>
      </c>
      <c r="F62">
        <v>11.28</v>
      </c>
      <c r="G62">
        <v>11.05</v>
      </c>
      <c r="H62">
        <v>45.36</v>
      </c>
      <c r="I62">
        <v>37.96</v>
      </c>
      <c r="J62">
        <v>19.190000000000001</v>
      </c>
      <c r="K62">
        <v>22.05</v>
      </c>
    </row>
    <row r="63" spans="1:11" x14ac:dyDescent="0.3">
      <c r="A63" s="6" t="s">
        <v>28</v>
      </c>
      <c r="K63">
        <v>3.78</v>
      </c>
    </row>
    <row r="64" spans="1:11" x14ac:dyDescent="0.3">
      <c r="A64" s="6" t="s">
        <v>29</v>
      </c>
      <c r="B64">
        <v>9.32</v>
      </c>
      <c r="C64">
        <v>7.87</v>
      </c>
      <c r="D64">
        <v>7.87</v>
      </c>
      <c r="E64">
        <v>13.98</v>
      </c>
      <c r="F64">
        <v>13.15</v>
      </c>
      <c r="G64">
        <v>11.51</v>
      </c>
      <c r="H64">
        <v>11.98</v>
      </c>
      <c r="I64">
        <v>10</v>
      </c>
      <c r="J64">
        <v>13.66</v>
      </c>
      <c r="K64">
        <v>53.6</v>
      </c>
    </row>
    <row r="65" spans="1:11" x14ac:dyDescent="0.3">
      <c r="A65" s="6" t="s">
        <v>64</v>
      </c>
      <c r="B65">
        <v>87625.66</v>
      </c>
      <c r="C65">
        <v>108380.76</v>
      </c>
      <c r="D65">
        <v>129630.24</v>
      </c>
      <c r="E65">
        <v>161443.04999999999</v>
      </c>
      <c r="F65">
        <v>206579.18</v>
      </c>
      <c r="G65">
        <v>275481.57</v>
      </c>
      <c r="H65">
        <v>380424.18</v>
      </c>
      <c r="I65">
        <v>449932.26</v>
      </c>
      <c r="J65">
        <v>490325.9</v>
      </c>
      <c r="K65">
        <v>485003</v>
      </c>
    </row>
    <row r="66" spans="1:11" s="1" customFormat="1" x14ac:dyDescent="0.3">
      <c r="A66" s="1" t="s">
        <v>26</v>
      </c>
      <c r="B66">
        <v>87646.99</v>
      </c>
      <c r="C66">
        <v>108400.39</v>
      </c>
      <c r="D66">
        <v>129649.63</v>
      </c>
      <c r="E66">
        <v>161468.32</v>
      </c>
      <c r="F66">
        <v>206603.61</v>
      </c>
      <c r="G66">
        <v>275504.13</v>
      </c>
      <c r="H66">
        <v>380481.52</v>
      </c>
      <c r="I66">
        <v>449980.22</v>
      </c>
      <c r="J66">
        <v>490358.75</v>
      </c>
      <c r="K66">
        <v>485082.43</v>
      </c>
    </row>
    <row r="67" spans="1:11" s="6" customFormat="1" x14ac:dyDescent="0.3">
      <c r="A67" s="6" t="s">
        <v>69</v>
      </c>
      <c r="I67">
        <v>200692.5</v>
      </c>
      <c r="J67">
        <v>243356.87</v>
      </c>
      <c r="K67">
        <v>259690.6</v>
      </c>
    </row>
    <row r="68" spans="1:11" x14ac:dyDescent="0.3">
      <c r="A68" s="6" t="s">
        <v>45</v>
      </c>
    </row>
    <row r="69" spans="1:11" x14ac:dyDescent="0.3">
      <c r="A69" s="4" t="s">
        <v>78</v>
      </c>
      <c r="B69">
        <v>5.07</v>
      </c>
      <c r="C69">
        <v>1211.21</v>
      </c>
      <c r="D69">
        <v>7.52</v>
      </c>
      <c r="E69">
        <v>99.82</v>
      </c>
      <c r="F69">
        <v>81.069999999999993</v>
      </c>
      <c r="G69">
        <v>100.76</v>
      </c>
      <c r="H69">
        <v>458.92</v>
      </c>
      <c r="I69">
        <v>303.38</v>
      </c>
      <c r="J69">
        <v>541.66</v>
      </c>
      <c r="K69">
        <v>467.37</v>
      </c>
    </row>
    <row r="70" spans="1:11" x14ac:dyDescent="0.3">
      <c r="A70" s="4" t="s">
        <v>65</v>
      </c>
      <c r="B70">
        <v>35839600</v>
      </c>
      <c r="C70">
        <v>45264600</v>
      </c>
      <c r="D70">
        <v>65264600</v>
      </c>
      <c r="E70">
        <v>6526460000</v>
      </c>
      <c r="F70">
        <v>9380460000</v>
      </c>
      <c r="G70">
        <v>11880460000</v>
      </c>
      <c r="H70">
        <v>13068506000</v>
      </c>
      <c r="I70">
        <v>13068506000</v>
      </c>
      <c r="J70">
        <v>13068506000</v>
      </c>
      <c r="K70">
        <v>13068506000</v>
      </c>
    </row>
    <row r="71" spans="1:11" x14ac:dyDescent="0.3">
      <c r="A71" s="4" t="s">
        <v>66</v>
      </c>
    </row>
    <row r="72" spans="1:11" x14ac:dyDescent="0.3">
      <c r="A72" s="4" t="s">
        <v>79</v>
      </c>
      <c r="B72">
        <v>1000</v>
      </c>
      <c r="C72">
        <v>1000</v>
      </c>
      <c r="D72">
        <v>10</v>
      </c>
      <c r="E72">
        <v>10</v>
      </c>
      <c r="F72">
        <v>10</v>
      </c>
      <c r="G72">
        <v>10</v>
      </c>
      <c r="H72">
        <v>10</v>
      </c>
      <c r="I72">
        <v>10</v>
      </c>
      <c r="J72">
        <v>10</v>
      </c>
      <c r="K72">
        <v>10</v>
      </c>
    </row>
    <row r="74" spans="1:11" x14ac:dyDescent="0.3">
      <c r="A74" s="6"/>
    </row>
    <row r="75" spans="1:11" x14ac:dyDescent="0.3">
      <c r="A75" s="6"/>
    </row>
    <row r="76" spans="1:11" x14ac:dyDescent="0.3">
      <c r="A76" s="6"/>
    </row>
    <row r="77" spans="1:11" x14ac:dyDescent="0.3">
      <c r="A77" s="6"/>
    </row>
    <row r="78" spans="1:11" x14ac:dyDescent="0.3">
      <c r="A78" s="6"/>
    </row>
    <row r="79" spans="1:11" x14ac:dyDescent="0.3">
      <c r="A79" s="6"/>
    </row>
    <row r="80" spans="1:11" x14ac:dyDescent="0.3">
      <c r="A80" s="1" t="s">
        <v>41</v>
      </c>
    </row>
    <row r="81" spans="1:11" s="18" customFormat="1" x14ac:dyDescent="0.3">
      <c r="A81" s="17" t="s">
        <v>38</v>
      </c>
      <c r="B81" s="12">
        <v>42094</v>
      </c>
      <c r="C81" s="12">
        <v>42460</v>
      </c>
      <c r="D81" s="12">
        <v>42825</v>
      </c>
      <c r="E81" s="12">
        <v>43190</v>
      </c>
      <c r="F81" s="12">
        <v>43555</v>
      </c>
      <c r="G81" s="12">
        <v>43921</v>
      </c>
      <c r="H81" s="12">
        <v>44286</v>
      </c>
      <c r="I81" s="12">
        <v>44651</v>
      </c>
      <c r="J81" s="12">
        <v>45016</v>
      </c>
      <c r="K81" s="12">
        <v>45382</v>
      </c>
    </row>
    <row r="82" spans="1:11" s="1" customFormat="1" x14ac:dyDescent="0.3">
      <c r="A82" s="6" t="s">
        <v>32</v>
      </c>
      <c r="C82">
        <v>-16377.5</v>
      </c>
      <c r="D82">
        <v>-19455.18</v>
      </c>
      <c r="E82">
        <v>-28076.12</v>
      </c>
      <c r="F82">
        <v>-41748.19</v>
      </c>
      <c r="G82">
        <v>-62700.61</v>
      </c>
      <c r="H82">
        <v>-89906.65</v>
      </c>
      <c r="I82">
        <v>-64412.28</v>
      </c>
      <c r="J82">
        <v>-28588.36</v>
      </c>
      <c r="K82">
        <v>7914.1</v>
      </c>
    </row>
    <row r="83" spans="1:11" s="6" customFormat="1" x14ac:dyDescent="0.3">
      <c r="A83" s="6" t="s">
        <v>33</v>
      </c>
      <c r="C83">
        <v>1.94</v>
      </c>
      <c r="D83">
        <v>1.79</v>
      </c>
      <c r="E83">
        <v>1.67</v>
      </c>
      <c r="F83">
        <v>1.31</v>
      </c>
      <c r="G83">
        <v>1.47</v>
      </c>
      <c r="H83">
        <v>0.42</v>
      </c>
      <c r="I83">
        <v>-4.72</v>
      </c>
      <c r="J83">
        <v>0.09</v>
      </c>
      <c r="K83">
        <v>-7.54</v>
      </c>
    </row>
    <row r="84" spans="1:11" s="6" customFormat="1" x14ac:dyDescent="0.3">
      <c r="A84" s="6" t="s">
        <v>34</v>
      </c>
      <c r="C84">
        <v>17581.7</v>
      </c>
      <c r="D84">
        <v>18249.71</v>
      </c>
      <c r="E84">
        <v>28074.63</v>
      </c>
      <c r="F84">
        <v>41749.449999999997</v>
      </c>
      <c r="G84">
        <v>62696.81</v>
      </c>
      <c r="H84">
        <v>90202.04</v>
      </c>
      <c r="I84">
        <v>64266.3</v>
      </c>
      <c r="J84">
        <v>28644.48</v>
      </c>
      <c r="K84">
        <v>-8046.42</v>
      </c>
    </row>
    <row r="85" spans="1:11" s="1" customFormat="1" x14ac:dyDescent="0.3">
      <c r="A85" s="6" t="s">
        <v>35</v>
      </c>
      <c r="C85">
        <v>1206.1400000000001</v>
      </c>
      <c r="D85">
        <v>-1203.69</v>
      </c>
      <c r="E85">
        <v>0.18</v>
      </c>
      <c r="F85">
        <v>2.58</v>
      </c>
      <c r="G85">
        <v>-2.33</v>
      </c>
      <c r="H85">
        <v>295.81</v>
      </c>
      <c r="I85">
        <v>-150.69999999999999</v>
      </c>
      <c r="J85">
        <v>56.21</v>
      </c>
      <c r="K85">
        <v>-139.87</v>
      </c>
    </row>
    <row r="86" spans="1:11" x14ac:dyDescent="0.3">
      <c r="A86" s="6"/>
    </row>
    <row r="87" spans="1:11" x14ac:dyDescent="0.3">
      <c r="A87" s="6"/>
    </row>
    <row r="88" spans="1:11" x14ac:dyDescent="0.3">
      <c r="A88" s="6"/>
    </row>
    <row r="89" spans="1:11" x14ac:dyDescent="0.3">
      <c r="A89" s="6"/>
    </row>
    <row r="90" spans="1:11" s="1" customFormat="1" x14ac:dyDescent="0.3">
      <c r="A90" s="1" t="s">
        <v>68</v>
      </c>
      <c r="H90">
        <v>22.9</v>
      </c>
      <c r="I90">
        <v>21.45</v>
      </c>
      <c r="J90">
        <v>26.6</v>
      </c>
      <c r="K90">
        <v>142.35</v>
      </c>
    </row>
    <row r="92" spans="1:11" s="1" customFormat="1" x14ac:dyDescent="0.3">
      <c r="A92" s="1" t="s">
        <v>67</v>
      </c>
    </row>
    <row r="93" spans="1:11" x14ac:dyDescent="0.3">
      <c r="A93" s="4" t="s">
        <v>80</v>
      </c>
      <c r="B93" s="20">
        <v>3.58</v>
      </c>
      <c r="C93" s="20">
        <v>4.53</v>
      </c>
      <c r="D93" s="20">
        <v>6.53</v>
      </c>
      <c r="E93" s="20">
        <v>652.65</v>
      </c>
      <c r="F93" s="20">
        <v>938.05</v>
      </c>
      <c r="G93" s="20">
        <v>1188.05</v>
      </c>
      <c r="H93" s="20">
        <v>1306.8499999999999</v>
      </c>
      <c r="I93" s="20">
        <v>1306.8499999999999</v>
      </c>
      <c r="J93" s="20">
        <v>1306.8499999999999</v>
      </c>
      <c r="K93" s="20">
        <v>1306.8499999999999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300-000000000000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>
    <pageSetUpPr fitToPage="1"/>
  </sheetPr>
  <dimension ref="A1:K24"/>
  <sheetViews>
    <sheetView zoomScale="125" workbookViewId="0">
      <pane xSplit="1" ySplit="3" topLeftCell="E10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defaultColWidth="8.77734375" defaultRowHeight="14.4" x14ac:dyDescent="0.3"/>
  <cols>
    <col min="1" max="1" width="22.77734375" bestFit="1" customWidth="1"/>
    <col min="2" max="2" width="13.44140625" customWidth="1"/>
    <col min="3" max="11" width="15.44140625" customWidth="1"/>
  </cols>
  <sheetData>
    <row r="1" spans="1:11" s="2" customFormat="1" x14ac:dyDescent="0.3">
      <c r="A1" s="2" t="str">
        <f>'Profit &amp; Loss'!A1</f>
        <v>INDIAN RAILWAY FINANCE CORPORATION LTD</v>
      </c>
      <c r="E1" t="str">
        <f>UPDATE</f>
        <v/>
      </c>
      <c r="G1"/>
      <c r="J1" s="2" t="s">
        <v>1</v>
      </c>
    </row>
    <row r="2" spans="1:11" x14ac:dyDescent="0.3">
      <c r="G2" s="2"/>
      <c r="H2" s="2"/>
    </row>
    <row r="3" spans="1:11" x14ac:dyDescent="0.3">
      <c r="A3" s="11" t="s">
        <v>2</v>
      </c>
      <c r="B3" s="12">
        <f>'Data Sheet'!B56</f>
        <v>42094</v>
      </c>
      <c r="C3" s="12">
        <f>'Data Sheet'!C56</f>
        <v>42460</v>
      </c>
      <c r="D3" s="12">
        <f>'Data Sheet'!D56</f>
        <v>42825</v>
      </c>
      <c r="E3" s="12">
        <f>'Data Sheet'!E56</f>
        <v>43190</v>
      </c>
      <c r="F3" s="12">
        <f>'Data Sheet'!F56</f>
        <v>43555</v>
      </c>
      <c r="G3" s="12">
        <f>'Data Sheet'!G56</f>
        <v>43921</v>
      </c>
      <c r="H3" s="12">
        <f>'Data Sheet'!H56</f>
        <v>44286</v>
      </c>
      <c r="I3" s="12">
        <f>'Data Sheet'!I56</f>
        <v>44651</v>
      </c>
      <c r="J3" s="12">
        <f>'Data Sheet'!J56</f>
        <v>45016</v>
      </c>
      <c r="K3" s="12">
        <f>'Data Sheet'!K56</f>
        <v>45382</v>
      </c>
    </row>
    <row r="4" spans="1:11" x14ac:dyDescent="0.3">
      <c r="A4" t="s">
        <v>24</v>
      </c>
      <c r="B4" s="14">
        <f>'Data Sheet'!B57</f>
        <v>3583.96</v>
      </c>
      <c r="C4" s="14">
        <f>'Data Sheet'!C57</f>
        <v>4526.46</v>
      </c>
      <c r="D4" s="14">
        <f>'Data Sheet'!D57</f>
        <v>6526.46</v>
      </c>
      <c r="E4" s="14">
        <f>'Data Sheet'!E57</f>
        <v>6526.46</v>
      </c>
      <c r="F4" s="14">
        <f>'Data Sheet'!F57</f>
        <v>9380.4599999999991</v>
      </c>
      <c r="G4" s="14">
        <f>'Data Sheet'!G57</f>
        <v>11880.46</v>
      </c>
      <c r="H4" s="14">
        <f>'Data Sheet'!H57</f>
        <v>13068.51</v>
      </c>
      <c r="I4" s="14">
        <f>'Data Sheet'!I57</f>
        <v>13068.51</v>
      </c>
      <c r="J4" s="14">
        <f>'Data Sheet'!J57</f>
        <v>13068.51</v>
      </c>
      <c r="K4" s="14">
        <f>'Data Sheet'!K57</f>
        <v>13068.51</v>
      </c>
    </row>
    <row r="5" spans="1:11" x14ac:dyDescent="0.3">
      <c r="A5" t="s">
        <v>25</v>
      </c>
      <c r="B5" s="14">
        <f>'Data Sheet'!B58</f>
        <v>5097.6499999999996</v>
      </c>
      <c r="C5" s="14">
        <f>'Data Sheet'!C58</f>
        <v>6998.89</v>
      </c>
      <c r="D5" s="14">
        <f>'Data Sheet'!D58</f>
        <v>5483.14</v>
      </c>
      <c r="E5" s="14">
        <f>'Data Sheet'!E58</f>
        <v>7402.23</v>
      </c>
      <c r="F5" s="14">
        <f>'Data Sheet'!F58</f>
        <v>15648.19</v>
      </c>
      <c r="G5" s="14">
        <f>'Data Sheet'!G58</f>
        <v>18419.29</v>
      </c>
      <c r="H5" s="14">
        <f>'Data Sheet'!H58</f>
        <v>22844.880000000001</v>
      </c>
      <c r="I5" s="14">
        <f>'Data Sheet'!I58</f>
        <v>27927.83</v>
      </c>
      <c r="J5" s="14">
        <f>'Data Sheet'!J58</f>
        <v>31611.68</v>
      </c>
      <c r="K5" s="14">
        <f>'Data Sheet'!K58</f>
        <v>36110.06</v>
      </c>
    </row>
    <row r="6" spans="1:11" x14ac:dyDescent="0.3">
      <c r="A6" t="s">
        <v>62</v>
      </c>
      <c r="B6" s="14">
        <f>'Data Sheet'!B59</f>
        <v>71269.63</v>
      </c>
      <c r="C6" s="14">
        <f>'Data Sheet'!C59</f>
        <v>87503.18</v>
      </c>
      <c r="D6" s="14">
        <f>'Data Sheet'!D59</f>
        <v>106394.86</v>
      </c>
      <c r="E6" s="14">
        <f>'Data Sheet'!E59</f>
        <v>134005.53</v>
      </c>
      <c r="F6" s="14">
        <f>'Data Sheet'!F59</f>
        <v>173932.67</v>
      </c>
      <c r="G6" s="14">
        <f>'Data Sheet'!G59</f>
        <v>234376.72</v>
      </c>
      <c r="H6" s="14">
        <f>'Data Sheet'!H59</f>
        <v>323145.26</v>
      </c>
      <c r="I6" s="14">
        <f>'Data Sheet'!I59</f>
        <v>388439.97</v>
      </c>
      <c r="J6" s="14">
        <f>'Data Sheet'!J59</f>
        <v>418934.9</v>
      </c>
      <c r="K6" s="14">
        <f>'Data Sheet'!K59</f>
        <v>412038.52</v>
      </c>
    </row>
    <row r="7" spans="1:11" x14ac:dyDescent="0.3">
      <c r="A7" t="s">
        <v>63</v>
      </c>
      <c r="B7" s="14">
        <f>'Data Sheet'!B60</f>
        <v>7695.75</v>
      </c>
      <c r="C7" s="14">
        <f>'Data Sheet'!C60</f>
        <v>9371.86</v>
      </c>
      <c r="D7" s="14">
        <f>'Data Sheet'!D60</f>
        <v>11245.17</v>
      </c>
      <c r="E7" s="14">
        <f>'Data Sheet'!E60</f>
        <v>13534.1</v>
      </c>
      <c r="F7" s="14">
        <f>'Data Sheet'!F60</f>
        <v>7642.29</v>
      </c>
      <c r="G7" s="14">
        <f>'Data Sheet'!G60</f>
        <v>10827.66</v>
      </c>
      <c r="H7" s="14">
        <f>'Data Sheet'!H60</f>
        <v>21422.87</v>
      </c>
      <c r="I7" s="14">
        <f>'Data Sheet'!I60</f>
        <v>20543.91</v>
      </c>
      <c r="J7" s="14">
        <f>'Data Sheet'!J60</f>
        <v>26743.66</v>
      </c>
      <c r="K7" s="14">
        <f>'Data Sheet'!K60</f>
        <v>23865.34</v>
      </c>
    </row>
    <row r="8" spans="1:11" s="2" customFormat="1" x14ac:dyDescent="0.3">
      <c r="A8" s="2" t="s">
        <v>26</v>
      </c>
      <c r="B8" s="15">
        <f>'Data Sheet'!B61</f>
        <v>87646.99</v>
      </c>
      <c r="C8" s="15">
        <f>'Data Sheet'!C61</f>
        <v>108400.39</v>
      </c>
      <c r="D8" s="15">
        <f>'Data Sheet'!D61</f>
        <v>129649.63</v>
      </c>
      <c r="E8" s="15">
        <f>'Data Sheet'!E61</f>
        <v>161468.32</v>
      </c>
      <c r="F8" s="15">
        <f>'Data Sheet'!F61</f>
        <v>206603.61</v>
      </c>
      <c r="G8" s="15">
        <f>'Data Sheet'!G61</f>
        <v>275504.13</v>
      </c>
      <c r="H8" s="15">
        <f>'Data Sheet'!H61</f>
        <v>380481.52</v>
      </c>
      <c r="I8" s="15">
        <f>'Data Sheet'!I61</f>
        <v>449980.22</v>
      </c>
      <c r="J8" s="15">
        <f>'Data Sheet'!J61</f>
        <v>490358.75</v>
      </c>
      <c r="K8" s="15">
        <f>'Data Sheet'!K61</f>
        <v>485082.43</v>
      </c>
    </row>
    <row r="9" spans="1:11" s="2" customFormat="1" x14ac:dyDescent="0.3"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">
      <c r="A10" t="s">
        <v>27</v>
      </c>
      <c r="B10" s="14">
        <f>'Data Sheet'!B62</f>
        <v>12.01</v>
      </c>
      <c r="C10" s="14">
        <f>'Data Sheet'!C62</f>
        <v>11.76</v>
      </c>
      <c r="D10" s="14">
        <f>'Data Sheet'!D62</f>
        <v>11.52</v>
      </c>
      <c r="E10" s="14">
        <f>'Data Sheet'!E62</f>
        <v>11.29</v>
      </c>
      <c r="F10" s="14">
        <f>'Data Sheet'!F62</f>
        <v>11.28</v>
      </c>
      <c r="G10" s="14">
        <f>'Data Sheet'!G62</f>
        <v>11.05</v>
      </c>
      <c r="H10" s="14">
        <f>'Data Sheet'!H62</f>
        <v>45.36</v>
      </c>
      <c r="I10" s="14">
        <f>'Data Sheet'!I62</f>
        <v>37.96</v>
      </c>
      <c r="J10" s="14">
        <f>'Data Sheet'!J62</f>
        <v>19.190000000000001</v>
      </c>
      <c r="K10" s="14">
        <f>'Data Sheet'!K62</f>
        <v>22.05</v>
      </c>
    </row>
    <row r="11" spans="1:11" x14ac:dyDescent="0.3">
      <c r="A11" t="s">
        <v>28</v>
      </c>
      <c r="B11" s="14">
        <f>'Data Sheet'!B63</f>
        <v>0</v>
      </c>
      <c r="C11" s="14">
        <f>'Data Sheet'!C63</f>
        <v>0</v>
      </c>
      <c r="D11" s="14">
        <f>'Data Sheet'!D63</f>
        <v>0</v>
      </c>
      <c r="E11" s="14">
        <f>'Data Sheet'!E63</f>
        <v>0</v>
      </c>
      <c r="F11" s="14">
        <f>'Data Sheet'!F63</f>
        <v>0</v>
      </c>
      <c r="G11" s="14">
        <f>'Data Sheet'!G63</f>
        <v>0</v>
      </c>
      <c r="H11" s="14">
        <f>'Data Sheet'!H63</f>
        <v>0</v>
      </c>
      <c r="I11" s="14">
        <f>'Data Sheet'!I63</f>
        <v>0</v>
      </c>
      <c r="J11" s="14">
        <f>'Data Sheet'!J63</f>
        <v>0</v>
      </c>
      <c r="K11" s="14">
        <f>'Data Sheet'!K63</f>
        <v>3.78</v>
      </c>
    </row>
    <row r="12" spans="1:11" x14ac:dyDescent="0.3">
      <c r="A12" t="s">
        <v>29</v>
      </c>
      <c r="B12" s="14">
        <f>'Data Sheet'!B64</f>
        <v>9.32</v>
      </c>
      <c r="C12" s="14">
        <f>'Data Sheet'!C64</f>
        <v>7.87</v>
      </c>
      <c r="D12" s="14">
        <f>'Data Sheet'!D64</f>
        <v>7.87</v>
      </c>
      <c r="E12" s="14">
        <f>'Data Sheet'!E64</f>
        <v>13.98</v>
      </c>
      <c r="F12" s="14">
        <f>'Data Sheet'!F64</f>
        <v>13.15</v>
      </c>
      <c r="G12" s="14">
        <f>'Data Sheet'!G64</f>
        <v>11.51</v>
      </c>
      <c r="H12" s="14">
        <f>'Data Sheet'!H64</f>
        <v>11.98</v>
      </c>
      <c r="I12" s="14">
        <f>'Data Sheet'!I64</f>
        <v>10</v>
      </c>
      <c r="J12" s="14">
        <f>'Data Sheet'!J64</f>
        <v>13.66</v>
      </c>
      <c r="K12" s="14">
        <f>'Data Sheet'!K64</f>
        <v>53.6</v>
      </c>
    </row>
    <row r="13" spans="1:11" x14ac:dyDescent="0.3">
      <c r="A13" t="s">
        <v>64</v>
      </c>
      <c r="B13" s="14">
        <f>'Data Sheet'!B65</f>
        <v>87625.66</v>
      </c>
      <c r="C13" s="14">
        <f>'Data Sheet'!C65</f>
        <v>108380.76</v>
      </c>
      <c r="D13" s="14">
        <f>'Data Sheet'!D65</f>
        <v>129630.24</v>
      </c>
      <c r="E13" s="14">
        <f>'Data Sheet'!E65</f>
        <v>161443.04999999999</v>
      </c>
      <c r="F13" s="14">
        <f>'Data Sheet'!F65</f>
        <v>206579.18</v>
      </c>
      <c r="G13" s="14">
        <f>'Data Sheet'!G65</f>
        <v>275481.57</v>
      </c>
      <c r="H13" s="14">
        <f>'Data Sheet'!H65</f>
        <v>380424.18</v>
      </c>
      <c r="I13" s="14">
        <f>'Data Sheet'!I65</f>
        <v>449932.26</v>
      </c>
      <c r="J13" s="14">
        <f>'Data Sheet'!J65</f>
        <v>490325.9</v>
      </c>
      <c r="K13" s="14">
        <f>'Data Sheet'!K65</f>
        <v>485003</v>
      </c>
    </row>
    <row r="14" spans="1:11" s="2" customFormat="1" x14ac:dyDescent="0.3">
      <c r="A14" s="2" t="s">
        <v>26</v>
      </c>
      <c r="B14" s="14">
        <f>'Data Sheet'!B66</f>
        <v>87646.99</v>
      </c>
      <c r="C14" s="14">
        <f>'Data Sheet'!C66</f>
        <v>108400.39</v>
      </c>
      <c r="D14" s="14">
        <f>'Data Sheet'!D66</f>
        <v>129649.63</v>
      </c>
      <c r="E14" s="14">
        <f>'Data Sheet'!E66</f>
        <v>161468.32</v>
      </c>
      <c r="F14" s="14">
        <f>'Data Sheet'!F66</f>
        <v>206603.61</v>
      </c>
      <c r="G14" s="14">
        <f>'Data Sheet'!G66</f>
        <v>275504.13</v>
      </c>
      <c r="H14" s="14">
        <f>'Data Sheet'!H66</f>
        <v>380481.52</v>
      </c>
      <c r="I14" s="14">
        <f>'Data Sheet'!I66</f>
        <v>449980.22</v>
      </c>
      <c r="J14" s="14">
        <f>'Data Sheet'!J66</f>
        <v>490358.75</v>
      </c>
      <c r="K14" s="14">
        <f>'Data Sheet'!K66</f>
        <v>485082.43</v>
      </c>
    </row>
    <row r="15" spans="1:11" x14ac:dyDescent="0.3"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t="s">
        <v>30</v>
      </c>
      <c r="B16" s="4">
        <f>B13-B7</f>
        <v>79929.91</v>
      </c>
      <c r="C16" s="4">
        <f t="shared" ref="C16:K16" si="0">C13-C7</f>
        <v>99008.9</v>
      </c>
      <c r="D16" s="4">
        <f t="shared" si="0"/>
        <v>118385.07</v>
      </c>
      <c r="E16" s="4">
        <f t="shared" si="0"/>
        <v>147908.94999999998</v>
      </c>
      <c r="F16" s="4">
        <f t="shared" si="0"/>
        <v>198936.88999999998</v>
      </c>
      <c r="G16" s="4">
        <f t="shared" si="0"/>
        <v>264653.91000000003</v>
      </c>
      <c r="H16" s="4">
        <f t="shared" si="0"/>
        <v>359001.31</v>
      </c>
      <c r="I16" s="4">
        <f t="shared" si="0"/>
        <v>429388.35000000003</v>
      </c>
      <c r="J16" s="4">
        <f t="shared" si="0"/>
        <v>463582.24000000005</v>
      </c>
      <c r="K16" s="4">
        <f t="shared" si="0"/>
        <v>461137.66</v>
      </c>
    </row>
    <row r="17" spans="1:11" x14ac:dyDescent="0.3">
      <c r="A17" t="s">
        <v>44</v>
      </c>
      <c r="B17" s="4">
        <f>'Data Sheet'!B67</f>
        <v>0</v>
      </c>
      <c r="C17" s="4">
        <f>'Data Sheet'!C67</f>
        <v>0</v>
      </c>
      <c r="D17" s="4">
        <f>'Data Sheet'!D67</f>
        <v>0</v>
      </c>
      <c r="E17" s="4">
        <f>'Data Sheet'!E67</f>
        <v>0</v>
      </c>
      <c r="F17" s="4">
        <f>'Data Sheet'!F67</f>
        <v>0</v>
      </c>
      <c r="G17" s="4">
        <f>'Data Sheet'!G67</f>
        <v>0</v>
      </c>
      <c r="H17" s="4">
        <f>'Data Sheet'!H67</f>
        <v>0</v>
      </c>
      <c r="I17" s="4">
        <f>'Data Sheet'!I67</f>
        <v>200692.5</v>
      </c>
      <c r="J17" s="4">
        <f>'Data Sheet'!J67</f>
        <v>243356.87</v>
      </c>
      <c r="K17" s="4">
        <f>'Data Sheet'!K67</f>
        <v>259690.6</v>
      </c>
    </row>
    <row r="18" spans="1:11" x14ac:dyDescent="0.3">
      <c r="A18" t="s">
        <v>45</v>
      </c>
      <c r="B18" s="4">
        <f>'Data Sheet'!B68</f>
        <v>0</v>
      </c>
      <c r="C18" s="4">
        <f>'Data Sheet'!C68</f>
        <v>0</v>
      </c>
      <c r="D18" s="4">
        <f>'Data Sheet'!D68</f>
        <v>0</v>
      </c>
      <c r="E18" s="4">
        <f>'Data Sheet'!E68</f>
        <v>0</v>
      </c>
      <c r="F18" s="4">
        <f>'Data Sheet'!F68</f>
        <v>0</v>
      </c>
      <c r="G18" s="4">
        <f>'Data Sheet'!G68</f>
        <v>0</v>
      </c>
      <c r="H18" s="4">
        <f>'Data Sheet'!H68</f>
        <v>0</v>
      </c>
      <c r="I18" s="4">
        <f>'Data Sheet'!I68</f>
        <v>0</v>
      </c>
      <c r="J18" s="4">
        <f>'Data Sheet'!J68</f>
        <v>0</v>
      </c>
      <c r="K18" s="4">
        <f>'Data Sheet'!K68</f>
        <v>0</v>
      </c>
    </row>
    <row r="20" spans="1:11" x14ac:dyDescent="0.3">
      <c r="A20" t="s">
        <v>46</v>
      </c>
      <c r="B20" s="4">
        <f>IF('Profit &amp; Loss'!B4&gt;0,'Balance Sheet'!B17/('Profit &amp; Loss'!B4/365),0)</f>
        <v>0</v>
      </c>
      <c r="C20" s="4">
        <f>IF('Profit &amp; Loss'!C4&gt;0,'Balance Sheet'!C17/('Profit &amp; Loss'!C4/365),0)</f>
        <v>0</v>
      </c>
      <c r="D20" s="4">
        <f>IF('Profit &amp; Loss'!D4&gt;0,'Balance Sheet'!D17/('Profit &amp; Loss'!D4/365),0)</f>
        <v>0</v>
      </c>
      <c r="E20" s="4">
        <f>IF('Profit &amp; Loss'!E4&gt;0,'Balance Sheet'!E17/('Profit &amp; Loss'!E4/365),0)</f>
        <v>0</v>
      </c>
      <c r="F20" s="4">
        <f>IF('Profit &amp; Loss'!F4&gt;0,'Balance Sheet'!F17/('Profit &amp; Loss'!F4/365),0)</f>
        <v>0</v>
      </c>
      <c r="G20" s="4">
        <f>IF('Profit &amp; Loss'!G4&gt;0,'Balance Sheet'!G17/('Profit &amp; Loss'!G4/365),0)</f>
        <v>0</v>
      </c>
      <c r="H20" s="4">
        <f>IF('Profit &amp; Loss'!H4&gt;0,'Balance Sheet'!H17/('Profit &amp; Loss'!H4/365),0)</f>
        <v>0</v>
      </c>
      <c r="I20" s="4">
        <f>IF('Profit &amp; Loss'!I4&gt;0,'Balance Sheet'!I17/('Profit &amp; Loss'!I4/365),0)</f>
        <v>3608.6206820109774</v>
      </c>
      <c r="J20" s="4">
        <f>IF('Profit &amp; Loss'!J4&gt;0,'Balance Sheet'!J17/('Profit &amp; Loss'!J4/365),0)</f>
        <v>3744.4111184975691</v>
      </c>
      <c r="K20" s="4">
        <f>IF('Profit &amp; Loss'!K4&gt;0,'Balance Sheet'!K17/('Profit &amp; Loss'!K4/365),0)</f>
        <v>3557.3427303027497</v>
      </c>
    </row>
    <row r="21" spans="1:11" x14ac:dyDescent="0.3">
      <c r="A21" t="s">
        <v>47</v>
      </c>
      <c r="B21" s="4">
        <f>IF('Balance Sheet'!B18&gt;0,'Profit &amp; Loss'!B4/'Balance Sheet'!B18,0)</f>
        <v>0</v>
      </c>
      <c r="C21" s="4">
        <f>IF('Balance Sheet'!C18&gt;0,'Profit &amp; Loss'!C4/'Balance Sheet'!C18,0)</f>
        <v>0</v>
      </c>
      <c r="D21" s="4">
        <f>IF('Balance Sheet'!D18&gt;0,'Profit &amp; Loss'!D4/'Balance Sheet'!D18,0)</f>
        <v>0</v>
      </c>
      <c r="E21" s="4">
        <f>IF('Balance Sheet'!E18&gt;0,'Profit &amp; Loss'!E4/'Balance Sheet'!E18,0)</f>
        <v>0</v>
      </c>
      <c r="F21" s="4">
        <f>IF('Balance Sheet'!F18&gt;0,'Profit &amp; Loss'!F4/'Balance Sheet'!F18,0)</f>
        <v>0</v>
      </c>
      <c r="G21" s="4">
        <f>IF('Balance Sheet'!G18&gt;0,'Profit &amp; Loss'!G4/'Balance Sheet'!G18,0)</f>
        <v>0</v>
      </c>
      <c r="H21" s="4">
        <f>IF('Balance Sheet'!H18&gt;0,'Profit &amp; Loss'!H4/'Balance Sheet'!H18,0)</f>
        <v>0</v>
      </c>
      <c r="I21" s="4">
        <f>IF('Balance Sheet'!I18&gt;0,'Profit &amp; Loss'!I4/'Balance Sheet'!I18,0)</f>
        <v>0</v>
      </c>
      <c r="J21" s="4">
        <f>IF('Balance Sheet'!J18&gt;0,'Profit &amp; Loss'!J4/'Balance Sheet'!J18,0)</f>
        <v>0</v>
      </c>
      <c r="K21" s="4">
        <f>IF('Balance Sheet'!K18&gt;0,'Profit &amp; Loss'!K4/'Balance Sheet'!K18,0)</f>
        <v>0</v>
      </c>
    </row>
    <row r="23" spans="1:11" s="2" customFormat="1" x14ac:dyDescent="0.3">
      <c r="A23" s="2" t="s">
        <v>50</v>
      </c>
      <c r="B23" s="10">
        <f>IF(SUM('Balance Sheet'!B4:B5)&gt;0,'Profit &amp; Loss'!B12/SUM('Balance Sheet'!B4:B5),"")</f>
        <v>8.7345549961355087E-2</v>
      </c>
      <c r="C23" s="10">
        <f>IF(SUM('Balance Sheet'!C4:C5)&gt;0,'Profit &amp; Loss'!C12/SUM('Balance Sheet'!C4:C5),"")</f>
        <v>7.3636809294294753E-2</v>
      </c>
      <c r="D23" s="10">
        <f>IF(SUM('Balance Sheet'!D4:D5)&gt;0,'Profit &amp; Loss'!D12/SUM('Balance Sheet'!D4:D5),"")</f>
        <v>7.7755295763389284E-2</v>
      </c>
      <c r="E23" s="10">
        <f>IF(SUM('Balance Sheet'!E4:E5)&gt;0,'Profit &amp; Loss'!E12/SUM('Balance Sheet'!E4:E5),"")</f>
        <v>0.14751279553209959</v>
      </c>
      <c r="F23" s="10">
        <f>IF(SUM('Balance Sheet'!F4:F5)&gt;0,'Profit &amp; Loss'!F12/SUM('Balance Sheet'!F4:F5),"")</f>
        <v>9.0086760572384045E-2</v>
      </c>
      <c r="G23" s="10">
        <f>IF(SUM('Balance Sheet'!G4:G5)&gt;0,'Profit &amp; Loss'!G12/SUM('Balance Sheet'!G4:G5),"")</f>
        <v>0.10535070421373113</v>
      </c>
      <c r="H23" s="10">
        <f>IF(SUM('Balance Sheet'!H4:H5)&gt;0,'Profit &amp; Loss'!H12/SUM('Balance Sheet'!H4:H5),"")</f>
        <v>0.12296611375311549</v>
      </c>
      <c r="I23" s="10">
        <f>IF(SUM('Balance Sheet'!I4:I5)&gt;0,'Profit &amp; Loss'!I12/SUM('Balance Sheet'!I4:I5),"")</f>
        <v>0.14854594336957883</v>
      </c>
      <c r="J23" s="10">
        <f>IF(SUM('Balance Sheet'!J4:J5)&gt;0,'Profit &amp; Loss'!J12/SUM('Balance Sheet'!J4:J5),"")</f>
        <v>0.13802895645698909</v>
      </c>
      <c r="K23" s="10">
        <f>IF(SUM('Balance Sheet'!K4:K5)&gt;0,'Profit &amp; Loss'!K12/SUM('Balance Sheet'!K4:K5),"")</f>
        <v>0.13038402702640603</v>
      </c>
    </row>
    <row r="24" spans="1:11" s="2" customFormat="1" x14ac:dyDescent="0.3">
      <c r="A24" s="2" t="s">
        <v>51</v>
      </c>
      <c r="B24" s="10"/>
      <c r="C24" s="10">
        <f>IF((B4+B5+B6+C4+C5+C6)&gt;0,('Profit &amp; Loss'!C10+'Profit &amp; Loss'!C9)*2/(B4+B5+B6+C4+C5+C6),"")</f>
        <v>8.3459152953431551E-2</v>
      </c>
      <c r="D24" s="10">
        <f>IF((C4+C5+C6+D4+D5+D6)&gt;0,('Profit &amp; Loss'!D10+'Profit &amp; Loss'!D9)*2/(C4+C5+C6+D4+D5+D6),"")</f>
        <v>8.2980968067449201E-2</v>
      </c>
      <c r="E24" s="10">
        <f>IF((D4+D5+D6+E4+E5+E6)&gt;0,('Profit &amp; Loss'!E10+'Profit &amp; Loss'!E9)*2/(D4+D5+D6+E4+E5+E6),"")</f>
        <v>6.9310848878578191E-2</v>
      </c>
      <c r="F24" s="10">
        <f>IF((E4+E5+E6+F4+F5+F6)&gt;0,('Profit &amp; Loss'!F10+'Profit &amp; Loss'!F9)*2/(E4+E5+E6+F4+F5+F6),"")</f>
        <v>6.3907884200529064E-2</v>
      </c>
      <c r="G24" s="10">
        <f>IF((F4+F5+F6+G4+G5+G6)&gt;0,('Profit &amp; Loss'!G10+'Profit &amp; Loss'!G9)*2/(F4+F5+F6+G4+G5+G6),"")</f>
        <v>5.7608720807680494E-2</v>
      </c>
      <c r="H24" s="10">
        <f>IF((G4+G5+G6+H4+H5+H6)&gt;0,('Profit &amp; Loss'!H10+'Profit &amp; Loss'!H9)*2/(G4+G5+G6+H4+H5+H6),"")</f>
        <v>5.0191754474239E-2</v>
      </c>
      <c r="I24" s="10">
        <f>IF((H4+H5+H6+I4+I5+I6)&gt;0,('Profit &amp; Loss'!I10+'Profit &amp; Loss'!I9)*2/(H4+H5+H6+I4+I5+I6),"")</f>
        <v>5.1147898269381459E-2</v>
      </c>
      <c r="J24" s="10">
        <f>IF((I4+I5+I6+J4+J5+J6)&gt;0,('Profit &amp; Loss'!J10+'Profit &amp; Loss'!J9)*2/(I4+I5+I6+J4+J5+J6),"")</f>
        <v>5.2884682785335757E-2</v>
      </c>
      <c r="K24" s="10">
        <f>IF((J4+J5+J6+K4+K5+K6)&gt;0,('Profit &amp; Loss'!K10+'Profit &amp; Loss'!K9)*2/(J4+J5+J6+K4+K5+K6),"")</f>
        <v>5.7337061952147904E-2</v>
      </c>
    </row>
  </sheetData>
  <hyperlinks>
    <hyperlink ref="J1" r:id="rId1" xr:uid="{00000000-0004-0000-04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Profit &amp; Loss</vt:lpstr>
      <vt:lpstr>Quarters</vt:lpstr>
      <vt:lpstr>Cash Flow</vt:lpstr>
      <vt:lpstr>Data Sheet</vt:lpstr>
      <vt:lpstr>Balance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Pratik Ghavate</cp:lastModifiedBy>
  <cp:lastPrinted>2012-12-06T18:14:13Z</cp:lastPrinted>
  <dcterms:created xsi:type="dcterms:W3CDTF">2012-08-17T09:55:37Z</dcterms:created>
  <dcterms:modified xsi:type="dcterms:W3CDTF">2024-10-14T12:41:09Z</dcterms:modified>
</cp:coreProperties>
</file>