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ometmail-my.sharepoint.com/personal/pni200000_utdallas_edu/Documents/Data Visualization/prattashaislam.github.io/"/>
    </mc:Choice>
  </mc:AlternateContent>
  <xr:revisionPtr revIDLastSave="3" documentId="13_ncr:1_{F5D677FF-0E3B-4CE6-A759-A9718ED550FC}" xr6:coauthVersionLast="47" xr6:coauthVersionMax="47" xr10:uidLastSave="{7C5FD987-85DE-471F-BB06-AAA8A3F808DF}"/>
  <workbookProtection workbookAlgorithmName="SHA-512" workbookHashValue="Ks+AdszOln5C1N9EjKpzKx+hXfTPfWcQPpVyZRd2HB2gQNfYr+stIuQ7gBUCD6w1Q0H3LmRCJUkhMlz85kpZtQ==" workbookSaltValue="S58iDNoBCiZXj4kvALx4Zw==" workbookSpinCount="100000" lockStructure="1"/>
  <bookViews>
    <workbookView xWindow="-110" yWindow="-110" windowWidth="19420" windowHeight="10300" tabRatio="705" firstSheet="8" activeTab="11"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s>
  <definedNames>
    <definedName name="\I" localSheetId="5">#REF!</definedName>
    <definedName name="\I">#REF!</definedName>
    <definedName name="\P" localSheetId="5">#REF!</definedName>
    <definedName name="\P">#REF!</definedName>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S176" i="21" l="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c r="C10" i="15"/>
  <c r="D10" i="15"/>
  <c r="J10" i="15"/>
  <c r="C15" i="15"/>
  <c r="D15" i="15"/>
  <c r="C12" i="15"/>
  <c r="D12" i="15"/>
  <c r="C17" i="15"/>
  <c r="D17" i="15"/>
  <c r="C57" i="15"/>
  <c r="D57" i="15"/>
  <c r="C32" i="15"/>
  <c r="D32" i="15"/>
  <c r="J32" i="15"/>
  <c r="C30" i="15"/>
  <c r="D30" i="15"/>
  <c r="J30" i="15"/>
  <c r="C82" i="15"/>
  <c r="D82" i="15"/>
  <c r="J82" i="15"/>
  <c r="C37" i="15"/>
  <c r="D37" i="15"/>
  <c r="J37" i="15"/>
  <c r="C55" i="15"/>
  <c r="D55" i="15"/>
  <c r="C92" i="15"/>
  <c r="D92" i="15"/>
  <c r="J92" i="15"/>
  <c r="C21" i="15"/>
  <c r="D21" i="15"/>
  <c r="C31" i="15"/>
  <c r="D31" i="15"/>
  <c r="C14" i="15"/>
  <c r="D14" i="15"/>
  <c r="C95" i="15"/>
  <c r="D95" i="15"/>
  <c r="J95" i="15"/>
  <c r="C69" i="15"/>
  <c r="D69" i="15"/>
  <c r="J69" i="15"/>
  <c r="C28" i="15"/>
  <c r="D28" i="15"/>
  <c r="C20" i="15"/>
  <c r="D20" i="15"/>
  <c r="C24" i="15"/>
  <c r="D24" i="15"/>
  <c r="C52" i="15"/>
  <c r="D52" i="15"/>
  <c r="C18" i="15"/>
  <c r="D18" i="15"/>
  <c r="J18" i="15"/>
  <c r="C25" i="15"/>
  <c r="D25" i="15"/>
  <c r="J25" i="15"/>
  <c r="C51" i="15"/>
  <c r="D51" i="15"/>
  <c r="G51" i="15"/>
  <c r="C53" i="15"/>
  <c r="D53" i="15"/>
  <c r="C137" i="15"/>
  <c r="D137" i="15"/>
  <c r="C36" i="15"/>
  <c r="D36" i="15"/>
  <c r="C29" i="15"/>
  <c r="D29" i="15"/>
  <c r="H29" i="15"/>
  <c r="C66" i="15"/>
  <c r="D66" i="15"/>
  <c r="J66" i="15"/>
  <c r="C22" i="15"/>
  <c r="D22" i="15"/>
  <c r="C40" i="15"/>
  <c r="D40" i="15"/>
  <c r="J40" i="15"/>
  <c r="C39" i="15"/>
  <c r="D39" i="15"/>
  <c r="J39" i="15"/>
  <c r="C58" i="15"/>
  <c r="D58" i="15"/>
  <c r="J58" i="15"/>
  <c r="C44" i="15"/>
  <c r="D44" i="15"/>
  <c r="C106" i="15"/>
  <c r="D106" i="15"/>
  <c r="J106" i="15"/>
  <c r="C76" i="15"/>
  <c r="D76" i="15"/>
  <c r="C99" i="15"/>
  <c r="D99" i="15"/>
  <c r="J99" i="15"/>
  <c r="C45" i="15"/>
  <c r="D45" i="15"/>
  <c r="J45" i="15"/>
  <c r="C26" i="15"/>
  <c r="D26" i="15"/>
  <c r="C49" i="15"/>
  <c r="D49" i="15"/>
  <c r="J49" i="15"/>
  <c r="C104" i="15"/>
  <c r="D104" i="15"/>
  <c r="J104" i="15"/>
  <c r="C47" i="15"/>
  <c r="D47" i="15"/>
  <c r="C111" i="15"/>
  <c r="D111" i="15"/>
  <c r="J111" i="15"/>
  <c r="C33" i="15"/>
  <c r="D33" i="15"/>
  <c r="C34" i="15"/>
  <c r="D34" i="15"/>
  <c r="C68" i="15"/>
  <c r="D68" i="15"/>
  <c r="J68" i="15"/>
  <c r="C27" i="15"/>
  <c r="D27" i="15"/>
  <c r="J27" i="15"/>
  <c r="C38" i="15"/>
  <c r="D38" i="15"/>
  <c r="J38" i="15"/>
  <c r="C50" i="15"/>
  <c r="D50" i="15"/>
  <c r="J50" i="15"/>
  <c r="C73" i="15"/>
  <c r="D73" i="15"/>
  <c r="J73" i="15"/>
  <c r="C46" i="15"/>
  <c r="D46" i="15"/>
  <c r="C42" i="15"/>
  <c r="D42" i="15"/>
  <c r="J42" i="15"/>
  <c r="C23" i="15"/>
  <c r="D23" i="15"/>
  <c r="J23" i="15"/>
  <c r="C54" i="15"/>
  <c r="D54" i="15"/>
  <c r="J54" i="15"/>
  <c r="C77" i="15"/>
  <c r="D77" i="15"/>
  <c r="J77" i="15"/>
  <c r="C72" i="15"/>
  <c r="D72" i="15"/>
  <c r="J72" i="15"/>
  <c r="C84" i="15"/>
  <c r="D84" i="15"/>
  <c r="J84" i="15"/>
  <c r="C63" i="15"/>
  <c r="D63" i="15"/>
  <c r="J63" i="15"/>
  <c r="C93" i="15"/>
  <c r="D93" i="15"/>
  <c r="J93" i="15"/>
  <c r="C56" i="15"/>
  <c r="D56" i="15"/>
  <c r="J56" i="15"/>
  <c r="C103" i="15"/>
  <c r="D103" i="15"/>
  <c r="J103" i="15"/>
  <c r="C86" i="15"/>
  <c r="D86" i="15"/>
  <c r="J86" i="15"/>
  <c r="C64" i="15"/>
  <c r="D64" i="15"/>
  <c r="J64" i="15"/>
  <c r="C74" i="15"/>
  <c r="D74" i="15"/>
  <c r="J74" i="15"/>
  <c r="C125" i="15"/>
  <c r="D125" i="15"/>
  <c r="J125" i="15"/>
  <c r="C79" i="15"/>
  <c r="D79" i="15"/>
  <c r="J79" i="15"/>
  <c r="C43" i="15"/>
  <c r="D43" i="15"/>
  <c r="J43" i="15"/>
  <c r="C83" i="15"/>
  <c r="D83" i="15"/>
  <c r="J83" i="15"/>
  <c r="C101" i="15"/>
  <c r="D101" i="15"/>
  <c r="J101" i="15"/>
  <c r="C59" i="15"/>
  <c r="D59" i="15"/>
  <c r="J59" i="15"/>
  <c r="C110" i="15"/>
  <c r="D110" i="15"/>
  <c r="J110" i="15"/>
  <c r="C35" i="15"/>
  <c r="D35" i="15"/>
  <c r="J35" i="15"/>
  <c r="C60" i="15"/>
  <c r="D60" i="15"/>
  <c r="J60" i="15"/>
  <c r="C78" i="15"/>
  <c r="D78" i="15"/>
  <c r="J78" i="15"/>
  <c r="C114" i="15"/>
  <c r="D114" i="15"/>
  <c r="J114" i="15"/>
  <c r="C122" i="15"/>
  <c r="D122" i="15"/>
  <c r="J122" i="15"/>
  <c r="C119" i="15"/>
  <c r="D119" i="15"/>
  <c r="J119" i="15"/>
  <c r="C67" i="15"/>
  <c r="D67" i="15"/>
  <c r="J67" i="15"/>
  <c r="C97" i="15"/>
  <c r="D97" i="15"/>
  <c r="J97" i="15"/>
  <c r="C89" i="15"/>
  <c r="D89" i="15"/>
  <c r="J89" i="15"/>
  <c r="C62" i="15"/>
  <c r="D62" i="15"/>
  <c r="J62" i="15"/>
  <c r="C124" i="15"/>
  <c r="D124" i="15"/>
  <c r="J124" i="15"/>
  <c r="C112" i="15"/>
  <c r="D112" i="15"/>
  <c r="J112" i="15"/>
  <c r="C87" i="15"/>
  <c r="D87" i="15"/>
  <c r="J87" i="15"/>
  <c r="C134" i="15"/>
  <c r="D134" i="15"/>
  <c r="J134" i="15"/>
  <c r="C81" i="15"/>
  <c r="D81" i="15"/>
  <c r="J81" i="15"/>
  <c r="C91" i="15"/>
  <c r="D91" i="15"/>
  <c r="J91" i="15"/>
  <c r="C70" i="15"/>
  <c r="D70" i="15"/>
  <c r="J70" i="15"/>
  <c r="C98" i="15"/>
  <c r="D98" i="15"/>
  <c r="J98" i="15"/>
  <c r="C128" i="15"/>
  <c r="D128" i="15"/>
  <c r="C131" i="15"/>
  <c r="D131" i="15"/>
  <c r="J131" i="15"/>
  <c r="C88" i="15"/>
  <c r="D88" i="15"/>
  <c r="J88" i="15"/>
  <c r="C126" i="15"/>
  <c r="D126" i="15"/>
  <c r="J126" i="15"/>
  <c r="C133" i="15"/>
  <c r="D133" i="15"/>
  <c r="J133" i="15"/>
  <c r="C117" i="15"/>
  <c r="D117" i="15"/>
  <c r="J117" i="15"/>
  <c r="C135" i="15"/>
  <c r="D135" i="15"/>
  <c r="J135" i="15"/>
  <c r="C141" i="15"/>
  <c r="D141" i="15"/>
  <c r="J141" i="15"/>
  <c r="C85" i="15"/>
  <c r="D85" i="15"/>
  <c r="J85" i="15"/>
  <c r="C127" i="15"/>
  <c r="D127" i="15"/>
  <c r="J127" i="15"/>
  <c r="C107" i="15"/>
  <c r="D107" i="15"/>
  <c r="J107" i="15"/>
  <c r="C146" i="15"/>
  <c r="D146" i="15"/>
  <c r="C151" i="15"/>
  <c r="D151" i="15"/>
  <c r="J151" i="15"/>
  <c r="C115" i="15"/>
  <c r="D115" i="15"/>
  <c r="J115" i="15"/>
  <c r="C75" i="15"/>
  <c r="D75" i="15"/>
  <c r="J75" i="15"/>
  <c r="C109" i="15"/>
  <c r="D109" i="15"/>
  <c r="J109" i="15"/>
  <c r="C108" i="15"/>
  <c r="D108" i="15"/>
  <c r="C140" i="15"/>
  <c r="D140" i="15"/>
  <c r="J140" i="15"/>
  <c r="C143" i="15"/>
  <c r="D143" i="15"/>
  <c r="J143" i="15"/>
  <c r="C123" i="15"/>
  <c r="D123" i="15"/>
  <c r="J123" i="15"/>
  <c r="C153" i="15"/>
  <c r="D153" i="15"/>
  <c r="J153" i="15"/>
  <c r="C142" i="15"/>
  <c r="D142" i="15"/>
  <c r="J142" i="15"/>
  <c r="C145" i="15"/>
  <c r="D145" i="15"/>
  <c r="J145" i="15"/>
  <c r="C138" i="15"/>
  <c r="D138" i="15"/>
  <c r="J138" i="15"/>
  <c r="C160" i="15"/>
  <c r="D160" i="15"/>
  <c r="J160" i="15"/>
  <c r="C132" i="15"/>
  <c r="D132" i="15"/>
  <c r="J132" i="15"/>
  <c r="C154" i="15"/>
  <c r="D154" i="15"/>
  <c r="J154" i="15"/>
  <c r="C159" i="15"/>
  <c r="D159" i="15"/>
  <c r="C156" i="15"/>
  <c r="D156" i="15"/>
  <c r="J156" i="15"/>
  <c r="C157" i="15"/>
  <c r="D157" i="15"/>
  <c r="J157" i="15"/>
  <c r="C13" i="15"/>
  <c r="D13" i="15"/>
  <c r="C149" i="15"/>
  <c r="D149" i="15"/>
  <c r="J149" i="15"/>
  <c r="C144" i="15"/>
  <c r="D144" i="15"/>
  <c r="C155" i="15"/>
  <c r="D155" i="15"/>
  <c r="J155" i="15"/>
  <c r="C71" i="15"/>
  <c r="D71" i="15"/>
  <c r="J71" i="15"/>
  <c r="C148" i="15"/>
  <c r="D148" i="15"/>
  <c r="J148" i="15"/>
  <c r="C136" i="15"/>
  <c r="D136" i="15"/>
  <c r="J136" i="15"/>
  <c r="C130" i="15"/>
  <c r="D130" i="15"/>
  <c r="J130" i="15"/>
  <c r="C102" i="15"/>
  <c r="D102" i="15"/>
  <c r="J102" i="15"/>
  <c r="C65" i="15"/>
  <c r="D65" i="15"/>
  <c r="J65" i="15"/>
  <c r="C113" i="15"/>
  <c r="D113" i="15"/>
  <c r="J113" i="15"/>
  <c r="C120" i="15"/>
  <c r="D120" i="15"/>
  <c r="J120" i="15"/>
  <c r="C139" i="15"/>
  <c r="D139" i="15"/>
  <c r="J139" i="15"/>
  <c r="C105" i="15"/>
  <c r="D105" i="15"/>
  <c r="C118" i="15"/>
  <c r="D118" i="15"/>
  <c r="J118" i="15"/>
  <c r="C129" i="15"/>
  <c r="D129" i="15"/>
  <c r="J129" i="15"/>
  <c r="C147" i="15"/>
  <c r="D147" i="15"/>
  <c r="J147" i="15"/>
  <c r="C61" i="15"/>
  <c r="D61" i="15"/>
  <c r="J61" i="15"/>
  <c r="C80" i="15"/>
  <c r="D80" i="15"/>
  <c r="C158" i="15"/>
  <c r="D158" i="15"/>
  <c r="J158" i="15"/>
  <c r="C100" i="15"/>
  <c r="D100" i="15"/>
  <c r="J100" i="15"/>
  <c r="C152" i="15"/>
  <c r="D152" i="15"/>
  <c r="J152" i="15"/>
  <c r="C94" i="15"/>
  <c r="D94" i="15"/>
  <c r="J94" i="15"/>
  <c r="C41" i="15"/>
  <c r="D41" i="15"/>
  <c r="J41" i="15"/>
  <c r="C48" i="15"/>
  <c r="D48" i="15"/>
  <c r="J48" i="15"/>
  <c r="C116" i="15"/>
  <c r="D116" i="15"/>
  <c r="J116" i="15"/>
  <c r="C161" i="15"/>
  <c r="D161" i="15"/>
  <c r="J161" i="15"/>
  <c r="C121" i="15"/>
  <c r="D121" i="15"/>
  <c r="J121" i="15"/>
  <c r="C96" i="15"/>
  <c r="D96" i="15"/>
  <c r="J96" i="15"/>
  <c r="C90" i="15"/>
  <c r="D90" i="15"/>
  <c r="C150" i="15"/>
  <c r="D150" i="15"/>
  <c r="J150" i="15"/>
  <c r="C19" i="15"/>
  <c r="D19" i="15"/>
  <c r="J19" i="15"/>
  <c r="C11" i="15"/>
  <c r="D11" i="15"/>
  <c r="J11" i="15"/>
  <c r="F16" i="15"/>
  <c r="I16" i="15"/>
  <c r="K16" i="15"/>
  <c r="G12" i="15"/>
  <c r="H12" i="15"/>
  <c r="K12" i="15"/>
  <c r="L12" i="15"/>
  <c r="K57" i="15"/>
  <c r="G17" i="15"/>
  <c r="H17" i="15"/>
  <c r="K17" i="15"/>
  <c r="L17" i="15"/>
  <c r="F51" i="15"/>
  <c r="H51" i="15"/>
  <c r="I51" i="15"/>
  <c r="K51" i="15"/>
  <c r="K15" i="15"/>
  <c r="G55" i="15"/>
  <c r="H55" i="15"/>
  <c r="K55" i="15"/>
  <c r="L55" i="15"/>
  <c r="F18" i="15"/>
  <c r="G18" i="15"/>
  <c r="H18" i="15"/>
  <c r="I18" i="15"/>
  <c r="K18" i="15"/>
  <c r="L18" i="15"/>
  <c r="F37" i="15"/>
  <c r="G37" i="15"/>
  <c r="H37" i="15"/>
  <c r="I37" i="15"/>
  <c r="K37" i="15"/>
  <c r="L37" i="15"/>
  <c r="F52" i="15"/>
  <c r="I52" i="15"/>
  <c r="K52" i="15"/>
  <c r="H13" i="15"/>
  <c r="K13" i="15"/>
  <c r="H137" i="15"/>
  <c r="I137" i="15"/>
  <c r="K137" i="15"/>
  <c r="F14" i="15"/>
  <c r="G14" i="15"/>
  <c r="K14" i="15"/>
  <c r="L14" i="15"/>
  <c r="H22" i="15"/>
  <c r="I22" i="15"/>
  <c r="K22" i="15"/>
  <c r="G28" i="15"/>
  <c r="K28" i="15"/>
  <c r="I76" i="15"/>
  <c r="K76" i="15"/>
  <c r="F69" i="15"/>
  <c r="G69" i="15"/>
  <c r="H69" i="15"/>
  <c r="I69" i="15"/>
  <c r="K69" i="15"/>
  <c r="L69" i="15"/>
  <c r="H20" i="15"/>
  <c r="I20" i="15"/>
  <c r="K20" i="15"/>
  <c r="F58" i="15"/>
  <c r="G58" i="15"/>
  <c r="H58" i="15"/>
  <c r="I58" i="15"/>
  <c r="K58" i="15"/>
  <c r="L58" i="15"/>
  <c r="F31" i="15"/>
  <c r="H31" i="15"/>
  <c r="I31" i="15"/>
  <c r="K31" i="15"/>
  <c r="F53" i="15"/>
  <c r="G53" i="15"/>
  <c r="H53" i="15"/>
  <c r="K53" i="15"/>
  <c r="L53" i="15"/>
  <c r="F21" i="15"/>
  <c r="H21" i="15"/>
  <c r="I21" i="15"/>
  <c r="K21" i="15"/>
  <c r="F26" i="15"/>
  <c r="G26" i="15"/>
  <c r="H26" i="15"/>
  <c r="K26" i="15"/>
  <c r="L26" i="15"/>
  <c r="F45" i="15"/>
  <c r="G45" i="15"/>
  <c r="H45" i="15"/>
  <c r="I45" i="15"/>
  <c r="K45" i="15"/>
  <c r="L45" i="15"/>
  <c r="F47" i="15"/>
  <c r="G47" i="15"/>
  <c r="H47" i="15"/>
  <c r="K47" i="15"/>
  <c r="L47" i="15"/>
  <c r="F24" i="15"/>
  <c r="H24" i="15"/>
  <c r="I24" i="15"/>
  <c r="K24" i="15"/>
  <c r="F40" i="15"/>
  <c r="G40" i="15"/>
  <c r="H40" i="15"/>
  <c r="I40" i="15"/>
  <c r="K40" i="15"/>
  <c r="L40" i="15"/>
  <c r="F36" i="15"/>
  <c r="H36" i="15"/>
  <c r="I36" i="15"/>
  <c r="K36" i="15"/>
  <c r="F46" i="15"/>
  <c r="K46" i="15"/>
  <c r="L46" i="15"/>
  <c r="F34" i="15"/>
  <c r="H34" i="15"/>
  <c r="I34" i="15"/>
  <c r="K34" i="15"/>
  <c r="F33" i="15"/>
  <c r="G33" i="15"/>
  <c r="H33" i="15"/>
  <c r="K33" i="15"/>
  <c r="L33" i="15"/>
  <c r="I29" i="15"/>
  <c r="K29" i="15"/>
  <c r="F44" i="15"/>
  <c r="G44" i="15"/>
  <c r="H44" i="15"/>
  <c r="K44" i="15"/>
  <c r="L44" i="15"/>
  <c r="F68" i="15"/>
  <c r="G68" i="15"/>
  <c r="H68" i="15"/>
  <c r="I68" i="15"/>
  <c r="K68" i="15"/>
  <c r="L68" i="15"/>
  <c r="F42" i="15"/>
  <c r="G42" i="15"/>
  <c r="H42" i="15"/>
  <c r="I42" i="15"/>
  <c r="K42" i="15"/>
  <c r="L42" i="15"/>
  <c r="G25" i="15"/>
  <c r="K25" i="15"/>
  <c r="L25" i="15"/>
  <c r="F99" i="15"/>
  <c r="G99" i="15"/>
  <c r="H99" i="15"/>
  <c r="I99" i="15"/>
  <c r="K99" i="15"/>
  <c r="L99" i="15"/>
  <c r="F54" i="15"/>
  <c r="G54" i="15"/>
  <c r="H54" i="15"/>
  <c r="I54" i="15"/>
  <c r="K54" i="15"/>
  <c r="L54" i="15"/>
  <c r="I104" i="15"/>
  <c r="K104" i="15"/>
  <c r="F72" i="15"/>
  <c r="G72" i="15"/>
  <c r="H72" i="15"/>
  <c r="I72" i="15"/>
  <c r="K72" i="15"/>
  <c r="L72" i="15"/>
  <c r="F59" i="15"/>
  <c r="G59" i="15"/>
  <c r="H59" i="15"/>
  <c r="I59" i="15"/>
  <c r="K59" i="15"/>
  <c r="L59" i="15"/>
  <c r="F84" i="15"/>
  <c r="G84" i="15"/>
  <c r="H84" i="15"/>
  <c r="I84" i="15"/>
  <c r="K84" i="15"/>
  <c r="L84" i="15"/>
  <c r="F125" i="15"/>
  <c r="G125" i="15"/>
  <c r="H125" i="15"/>
  <c r="I125" i="15"/>
  <c r="K125" i="15"/>
  <c r="L125" i="15"/>
  <c r="F103" i="15"/>
  <c r="G103" i="15"/>
  <c r="H103" i="15"/>
  <c r="I103" i="15"/>
  <c r="K103" i="15"/>
  <c r="L103" i="15"/>
  <c r="F64" i="15"/>
  <c r="G64" i="15"/>
  <c r="H64" i="15"/>
  <c r="I64" i="15"/>
  <c r="K64" i="15"/>
  <c r="L64" i="15"/>
  <c r="F134" i="15"/>
  <c r="G134" i="15"/>
  <c r="H134" i="15"/>
  <c r="I134" i="15"/>
  <c r="K134" i="15"/>
  <c r="L134" i="15"/>
  <c r="F77" i="15"/>
  <c r="G77" i="15"/>
  <c r="H77" i="15"/>
  <c r="I77" i="15"/>
  <c r="K77" i="15"/>
  <c r="L77" i="15"/>
  <c r="F62" i="15"/>
  <c r="G62" i="15"/>
  <c r="H62" i="15"/>
  <c r="I62" i="15"/>
  <c r="K62" i="15"/>
  <c r="L62" i="15"/>
  <c r="F87" i="15"/>
  <c r="G87" i="15"/>
  <c r="H87" i="15"/>
  <c r="I87" i="15"/>
  <c r="K87" i="15"/>
  <c r="L87" i="15"/>
  <c r="F43" i="15"/>
  <c r="G43" i="15"/>
  <c r="H43" i="15"/>
  <c r="I43" i="15"/>
  <c r="K43" i="15"/>
  <c r="L43" i="15"/>
  <c r="F70" i="15"/>
  <c r="G70" i="15"/>
  <c r="H70" i="15"/>
  <c r="I70" i="15"/>
  <c r="K70" i="15"/>
  <c r="L70" i="15"/>
  <c r="G119" i="15"/>
  <c r="K119" i="15"/>
  <c r="L119" i="15"/>
  <c r="F98" i="15"/>
  <c r="G98" i="15"/>
  <c r="H98" i="15"/>
  <c r="I98" i="15"/>
  <c r="K98" i="15"/>
  <c r="L98" i="15"/>
  <c r="G124" i="15"/>
  <c r="K124" i="15"/>
  <c r="L124" i="15"/>
  <c r="I89" i="15"/>
  <c r="K89" i="15"/>
  <c r="F112" i="15"/>
  <c r="G112" i="15"/>
  <c r="H112" i="15"/>
  <c r="I112" i="15"/>
  <c r="K112" i="15"/>
  <c r="L112" i="15"/>
  <c r="F60" i="15"/>
  <c r="G60" i="15"/>
  <c r="H60" i="15"/>
  <c r="I60" i="15"/>
  <c r="K60" i="15"/>
  <c r="L60" i="15"/>
  <c r="K128" i="15"/>
  <c r="F122" i="15"/>
  <c r="G122" i="15"/>
  <c r="H122" i="15"/>
  <c r="I122" i="15"/>
  <c r="K122" i="15"/>
  <c r="L122" i="15"/>
  <c r="F81" i="15"/>
  <c r="G81" i="15"/>
  <c r="H81" i="15"/>
  <c r="I81" i="15"/>
  <c r="K81" i="15"/>
  <c r="L81" i="15"/>
  <c r="F131" i="15"/>
  <c r="G131" i="15"/>
  <c r="H131" i="15"/>
  <c r="I131" i="15"/>
  <c r="K131" i="15"/>
  <c r="L131" i="15"/>
  <c r="F143" i="15"/>
  <c r="G143" i="15"/>
  <c r="H143" i="15"/>
  <c r="I143" i="15"/>
  <c r="K143" i="15"/>
  <c r="L143" i="15"/>
  <c r="I88" i="15"/>
  <c r="K88" i="15"/>
  <c r="G127" i="15"/>
  <c r="K127" i="15"/>
  <c r="L127" i="15"/>
  <c r="F133" i="15"/>
  <c r="G133" i="15"/>
  <c r="H133" i="15"/>
  <c r="I133" i="15"/>
  <c r="K133" i="15"/>
  <c r="L133" i="15"/>
  <c r="G145" i="15"/>
  <c r="K145" i="15"/>
  <c r="L145" i="15"/>
  <c r="K146" i="15"/>
  <c r="G140" i="15"/>
  <c r="K140" i="15"/>
  <c r="L140" i="15"/>
  <c r="F153" i="15"/>
  <c r="G153" i="15"/>
  <c r="H153" i="15"/>
  <c r="I153" i="15"/>
  <c r="K153" i="15"/>
  <c r="L153" i="15"/>
  <c r="F117" i="15"/>
  <c r="G117" i="15"/>
  <c r="H117" i="15"/>
  <c r="I117" i="15"/>
  <c r="K117" i="15"/>
  <c r="L117" i="15"/>
  <c r="K108" i="15"/>
  <c r="F107" i="15"/>
  <c r="G107" i="15"/>
  <c r="H107" i="15"/>
  <c r="I107" i="15"/>
  <c r="K107" i="15"/>
  <c r="L107" i="15"/>
  <c r="F123" i="15"/>
  <c r="G123" i="15"/>
  <c r="H123" i="15"/>
  <c r="I123" i="15"/>
  <c r="K123" i="15"/>
  <c r="L123" i="15"/>
  <c r="F142" i="15"/>
  <c r="G142" i="15"/>
  <c r="H142" i="15"/>
  <c r="I142" i="15"/>
  <c r="K142" i="15"/>
  <c r="L142" i="15"/>
  <c r="F109" i="15"/>
  <c r="G109" i="15"/>
  <c r="H109" i="15"/>
  <c r="I109" i="15"/>
  <c r="K109" i="15"/>
  <c r="L109" i="15"/>
  <c r="F132" i="15"/>
  <c r="G132" i="15"/>
  <c r="H132" i="15"/>
  <c r="I132" i="15"/>
  <c r="K132" i="15"/>
  <c r="L132" i="15"/>
  <c r="F138" i="15"/>
  <c r="G138" i="15"/>
  <c r="H138" i="15"/>
  <c r="I138" i="15"/>
  <c r="K138" i="15"/>
  <c r="L138" i="15"/>
  <c r="F126" i="15"/>
  <c r="G126" i="15"/>
  <c r="H126" i="15"/>
  <c r="I126" i="15"/>
  <c r="K126" i="15"/>
  <c r="L126" i="15"/>
  <c r="F149" i="15"/>
  <c r="G149" i="15"/>
  <c r="H149" i="15"/>
  <c r="I149" i="15"/>
  <c r="K149" i="15"/>
  <c r="L149" i="15"/>
  <c r="K144" i="15"/>
  <c r="F85" i="15"/>
  <c r="G85" i="15"/>
  <c r="H85" i="15"/>
  <c r="I85" i="15"/>
  <c r="K85" i="15"/>
  <c r="L85" i="15"/>
  <c r="F151" i="15"/>
  <c r="G151" i="15"/>
  <c r="H151" i="15"/>
  <c r="I151" i="15"/>
  <c r="K151" i="15"/>
  <c r="L151" i="15"/>
  <c r="F154" i="15"/>
  <c r="G154" i="15"/>
  <c r="H154" i="15"/>
  <c r="I154" i="15"/>
  <c r="K154" i="15"/>
  <c r="L154" i="15"/>
  <c r="F156" i="15"/>
  <c r="G156" i="15"/>
  <c r="H156" i="15"/>
  <c r="I156" i="15"/>
  <c r="K156" i="15"/>
  <c r="L156" i="15"/>
  <c r="I157" i="15"/>
  <c r="K157" i="15"/>
  <c r="F155" i="15"/>
  <c r="G155" i="15"/>
  <c r="H155" i="15"/>
  <c r="I155" i="15"/>
  <c r="K155" i="15"/>
  <c r="L155" i="15"/>
  <c r="I71" i="15"/>
  <c r="K71" i="15"/>
  <c r="F97" i="15"/>
  <c r="G97" i="15"/>
  <c r="H97" i="15"/>
  <c r="I97" i="15"/>
  <c r="K97" i="15"/>
  <c r="L97" i="15"/>
  <c r="F148" i="15"/>
  <c r="G148" i="15"/>
  <c r="H148" i="15"/>
  <c r="I148" i="15"/>
  <c r="K148" i="15"/>
  <c r="L148" i="15"/>
  <c r="G101" i="15"/>
  <c r="K101" i="15"/>
  <c r="L101" i="15"/>
  <c r="F136" i="15"/>
  <c r="G136" i="15"/>
  <c r="H136" i="15"/>
  <c r="I136" i="15"/>
  <c r="K136" i="15"/>
  <c r="L136" i="15"/>
  <c r="F63" i="15"/>
  <c r="G63" i="15"/>
  <c r="H63" i="15"/>
  <c r="I63" i="15"/>
  <c r="K63" i="15"/>
  <c r="L63" i="15"/>
  <c r="F30" i="15"/>
  <c r="G30" i="15"/>
  <c r="H30" i="15"/>
  <c r="I30" i="15"/>
  <c r="K30" i="15"/>
  <c r="L30" i="15"/>
  <c r="F115" i="15"/>
  <c r="G115" i="15"/>
  <c r="H115" i="15"/>
  <c r="I115" i="15"/>
  <c r="K115" i="15"/>
  <c r="L115" i="15"/>
  <c r="F130" i="15"/>
  <c r="G130" i="15"/>
  <c r="H130" i="15"/>
  <c r="I130" i="15"/>
  <c r="K130" i="15"/>
  <c r="L130" i="15"/>
  <c r="F114" i="15"/>
  <c r="G114" i="15"/>
  <c r="H114" i="15"/>
  <c r="I114" i="15"/>
  <c r="K114" i="15"/>
  <c r="L114" i="15"/>
  <c r="K159" i="15"/>
  <c r="F102" i="15"/>
  <c r="G102" i="15"/>
  <c r="H102" i="15"/>
  <c r="I102" i="15"/>
  <c r="K102" i="15"/>
  <c r="L102" i="15"/>
  <c r="I65" i="15"/>
  <c r="K65" i="15"/>
  <c r="F113" i="15"/>
  <c r="G113" i="15"/>
  <c r="H113" i="15"/>
  <c r="I113" i="15"/>
  <c r="K113" i="15"/>
  <c r="L113" i="15"/>
  <c r="I120" i="15"/>
  <c r="K120" i="15"/>
  <c r="F74" i="15"/>
  <c r="G74" i="15"/>
  <c r="H74" i="15"/>
  <c r="I74" i="15"/>
  <c r="K74" i="15"/>
  <c r="L74" i="15"/>
  <c r="F67" i="15"/>
  <c r="G67" i="15"/>
  <c r="H67" i="15"/>
  <c r="I67" i="15"/>
  <c r="K67" i="15"/>
  <c r="L67" i="15"/>
  <c r="F79" i="15"/>
  <c r="G79" i="15"/>
  <c r="H79" i="15"/>
  <c r="I79" i="15"/>
  <c r="K79" i="15"/>
  <c r="L79" i="15"/>
  <c r="I95" i="15"/>
  <c r="K95" i="15"/>
  <c r="F139" i="15"/>
  <c r="G139" i="15"/>
  <c r="H139" i="15"/>
  <c r="I139" i="15"/>
  <c r="K139" i="15"/>
  <c r="L139" i="15"/>
  <c r="K105" i="15"/>
  <c r="F118" i="15"/>
  <c r="G118" i="15"/>
  <c r="H118" i="15"/>
  <c r="I118" i="15"/>
  <c r="K118" i="15"/>
  <c r="L118" i="15"/>
  <c r="F38" i="15"/>
  <c r="G38" i="15"/>
  <c r="H38" i="15"/>
  <c r="I38" i="15"/>
  <c r="K38" i="15"/>
  <c r="L38" i="15"/>
  <c r="F56" i="15"/>
  <c r="G56" i="15"/>
  <c r="H56" i="15"/>
  <c r="I56" i="15"/>
  <c r="K56" i="15"/>
  <c r="L56" i="15"/>
  <c r="F129" i="15"/>
  <c r="G129" i="15"/>
  <c r="H129" i="15"/>
  <c r="I129" i="15"/>
  <c r="K129" i="15"/>
  <c r="L129" i="15"/>
  <c r="G147" i="15"/>
  <c r="K147" i="15"/>
  <c r="L147" i="15"/>
  <c r="I78" i="15"/>
  <c r="K78" i="15"/>
  <c r="F61" i="15"/>
  <c r="G61" i="15"/>
  <c r="H61" i="15"/>
  <c r="I61" i="15"/>
  <c r="K61" i="15"/>
  <c r="L61" i="15"/>
  <c r="I93" i="15"/>
  <c r="K93" i="15"/>
  <c r="K80" i="15"/>
  <c r="F49" i="15"/>
  <c r="G49" i="15"/>
  <c r="H49" i="15"/>
  <c r="I49" i="15"/>
  <c r="K49" i="15"/>
  <c r="L49" i="15"/>
  <c r="F66" i="15"/>
  <c r="G66" i="15"/>
  <c r="H66" i="15"/>
  <c r="I66" i="15"/>
  <c r="K66" i="15"/>
  <c r="L66" i="15"/>
  <c r="F92" i="15"/>
  <c r="G92" i="15"/>
  <c r="H92" i="15"/>
  <c r="I92" i="15"/>
  <c r="K92" i="15"/>
  <c r="L92" i="15"/>
  <c r="G158" i="15"/>
  <c r="K158" i="15"/>
  <c r="L158" i="15"/>
  <c r="I75" i="15"/>
  <c r="K75" i="15"/>
  <c r="F100" i="15"/>
  <c r="G100" i="15"/>
  <c r="H100" i="15"/>
  <c r="I100" i="15"/>
  <c r="K100" i="15"/>
  <c r="L100" i="15"/>
  <c r="F152" i="15"/>
  <c r="G152" i="15"/>
  <c r="H152" i="15"/>
  <c r="I152" i="15"/>
  <c r="K152" i="15"/>
  <c r="L152" i="15"/>
  <c r="F94" i="15"/>
  <c r="G94" i="15"/>
  <c r="H94" i="15"/>
  <c r="I94" i="15"/>
  <c r="K94" i="15"/>
  <c r="L94" i="15"/>
  <c r="I141" i="15"/>
  <c r="K141" i="15"/>
  <c r="F41" i="15"/>
  <c r="G41" i="15"/>
  <c r="H41" i="15"/>
  <c r="I41" i="15"/>
  <c r="K41" i="15"/>
  <c r="L41" i="15"/>
  <c r="F32" i="15"/>
  <c r="G32" i="15"/>
  <c r="H32" i="15"/>
  <c r="I32" i="15"/>
  <c r="K32" i="15"/>
  <c r="L32" i="15"/>
  <c r="G160" i="15"/>
  <c r="K160" i="15"/>
  <c r="L160" i="15"/>
  <c r="F110" i="15"/>
  <c r="G110" i="15"/>
  <c r="H110" i="15"/>
  <c r="I110" i="15"/>
  <c r="K110" i="15"/>
  <c r="L110" i="15"/>
  <c r="G48" i="15"/>
  <c r="K48" i="15"/>
  <c r="L48" i="15"/>
  <c r="F116" i="15"/>
  <c r="G116" i="15"/>
  <c r="H116" i="15"/>
  <c r="I116" i="15"/>
  <c r="K116" i="15"/>
  <c r="L116" i="15"/>
  <c r="F135" i="15"/>
  <c r="G135" i="15"/>
  <c r="H135" i="15"/>
  <c r="I135" i="15"/>
  <c r="K135" i="15"/>
  <c r="L135" i="15"/>
  <c r="F27" i="15"/>
  <c r="G27" i="15"/>
  <c r="H27" i="15"/>
  <c r="I27" i="15"/>
  <c r="K27" i="15"/>
  <c r="L27" i="15"/>
  <c r="G91" i="15"/>
  <c r="K91" i="15"/>
  <c r="L91" i="15"/>
  <c r="I82" i="15"/>
  <c r="K82" i="15"/>
  <c r="F83" i="15"/>
  <c r="G83" i="15"/>
  <c r="H83" i="15"/>
  <c r="I83" i="15"/>
  <c r="K83" i="15"/>
  <c r="L83" i="15"/>
  <c r="I161" i="15"/>
  <c r="K161" i="15"/>
  <c r="F73" i="15"/>
  <c r="G73" i="15"/>
  <c r="H73" i="15"/>
  <c r="I73" i="15"/>
  <c r="K73" i="15"/>
  <c r="L73" i="15"/>
  <c r="F106" i="15"/>
  <c r="G106" i="15"/>
  <c r="H106" i="15"/>
  <c r="I106" i="15"/>
  <c r="K106" i="15"/>
  <c r="L106" i="15"/>
  <c r="F35" i="15"/>
  <c r="G35" i="15"/>
  <c r="H35" i="15"/>
  <c r="I35" i="15"/>
  <c r="K35" i="15"/>
  <c r="L35" i="15"/>
  <c r="F39" i="15"/>
  <c r="G39" i="15"/>
  <c r="H39" i="15"/>
  <c r="I39" i="15"/>
  <c r="K39" i="15"/>
  <c r="L39" i="15"/>
  <c r="F121" i="15"/>
  <c r="G121" i="15"/>
  <c r="H121" i="15"/>
  <c r="I121" i="15"/>
  <c r="K121" i="15"/>
  <c r="L121" i="15"/>
  <c r="F50" i="15"/>
  <c r="G50" i="15"/>
  <c r="H50" i="15"/>
  <c r="I50" i="15"/>
  <c r="K50" i="15"/>
  <c r="L50" i="15"/>
  <c r="F96" i="15"/>
  <c r="G96" i="15"/>
  <c r="H96" i="15"/>
  <c r="I96" i="15"/>
  <c r="K96" i="15"/>
  <c r="L96" i="15"/>
  <c r="K90" i="15"/>
  <c r="F111" i="15"/>
  <c r="G111" i="15"/>
  <c r="H111" i="15"/>
  <c r="I111" i="15"/>
  <c r="K111" i="15"/>
  <c r="L111" i="15"/>
  <c r="F150" i="15"/>
  <c r="G150" i="15"/>
  <c r="H150" i="15"/>
  <c r="I150" i="15"/>
  <c r="K150" i="15"/>
  <c r="L150" i="15"/>
  <c r="F23" i="15"/>
  <c r="G23" i="15"/>
  <c r="H23" i="15"/>
  <c r="I23" i="15"/>
  <c r="K23" i="15"/>
  <c r="L23" i="15"/>
  <c r="I19" i="15"/>
  <c r="K19" i="15"/>
  <c r="F11" i="15"/>
  <c r="G11" i="15"/>
  <c r="H11" i="15"/>
  <c r="I11" i="15"/>
  <c r="K11" i="15"/>
  <c r="L11" i="15"/>
  <c r="I86" i="15"/>
  <c r="K86" i="15"/>
  <c r="L10" i="15"/>
  <c r="K10" i="15"/>
  <c r="I10" i="15"/>
  <c r="H10" i="15"/>
  <c r="G10" i="15"/>
  <c r="F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J105" i="15"/>
  <c r="F105" i="15"/>
  <c r="G105" i="15"/>
  <c r="L105" i="15"/>
  <c r="H105" i="15"/>
  <c r="I105" i="15"/>
  <c r="J144" i="15"/>
  <c r="H144" i="15"/>
  <c r="I144" i="15"/>
  <c r="G144" i="15"/>
  <c r="L144" i="15"/>
  <c r="F144" i="15"/>
  <c r="J146" i="15"/>
  <c r="F146" i="15"/>
  <c r="G146" i="15"/>
  <c r="L146" i="15"/>
  <c r="I146" i="15"/>
  <c r="H146" i="15"/>
  <c r="J128" i="15"/>
  <c r="H128" i="15"/>
  <c r="G128" i="15"/>
  <c r="I128" i="15"/>
  <c r="L128" i="15"/>
  <c r="F128" i="15"/>
  <c r="J159" i="15"/>
  <c r="F159" i="15"/>
  <c r="G159" i="15"/>
  <c r="L159" i="15"/>
  <c r="H159" i="15"/>
  <c r="I159" i="15"/>
  <c r="J108" i="15"/>
  <c r="F108" i="15"/>
  <c r="I108" i="15"/>
  <c r="G108" i="15"/>
  <c r="L108" i="15"/>
  <c r="H108" i="15"/>
  <c r="J90" i="15"/>
  <c r="F90" i="15"/>
  <c r="G90" i="15"/>
  <c r="L90" i="15"/>
  <c r="I90" i="15"/>
  <c r="H90" i="15"/>
  <c r="J80" i="15"/>
  <c r="H80" i="15"/>
  <c r="I80" i="15"/>
  <c r="L80" i="15"/>
  <c r="F80" i="15"/>
  <c r="G80" i="15"/>
  <c r="J46" i="15"/>
  <c r="I46" i="15"/>
  <c r="J76" i="15"/>
  <c r="F76" i="15"/>
  <c r="G76" i="15"/>
  <c r="L76" i="15"/>
  <c r="J28" i="15"/>
  <c r="H28" i="15"/>
  <c r="I28" i="15"/>
  <c r="J57" i="15"/>
  <c r="G57" i="15"/>
  <c r="L57" i="15"/>
  <c r="H57" i="15"/>
  <c r="G15" i="15"/>
  <c r="L15" i="15"/>
  <c r="H15" i="15"/>
  <c r="J15" i="15"/>
  <c r="H86" i="15"/>
  <c r="H19" i="15"/>
  <c r="H161" i="15"/>
  <c r="H82" i="15"/>
  <c r="F91" i="15"/>
  <c r="F48" i="15"/>
  <c r="F160" i="15"/>
  <c r="H141" i="15"/>
  <c r="H75" i="15"/>
  <c r="F158" i="15"/>
  <c r="H93" i="15"/>
  <c r="H78" i="15"/>
  <c r="F147" i="15"/>
  <c r="H95" i="15"/>
  <c r="H120" i="15"/>
  <c r="H65" i="15"/>
  <c r="F101" i="15"/>
  <c r="H71" i="15"/>
  <c r="H157" i="15"/>
  <c r="F140" i="15"/>
  <c r="F145" i="15"/>
  <c r="F127" i="15"/>
  <c r="H88" i="15"/>
  <c r="H89" i="15"/>
  <c r="F124" i="15"/>
  <c r="F119" i="15"/>
  <c r="H104" i="15"/>
  <c r="F25" i="15"/>
  <c r="H76" i="15"/>
  <c r="F28" i="15"/>
  <c r="I57" i="15"/>
  <c r="J53" i="15"/>
  <c r="I53" i="15"/>
  <c r="J24" i="15"/>
  <c r="G24" i="15"/>
  <c r="L24" i="15"/>
  <c r="J21" i="15"/>
  <c r="G21" i="15"/>
  <c r="L21" i="15"/>
  <c r="J55" i="15"/>
  <c r="I55" i="15"/>
  <c r="F55" i="15"/>
  <c r="J17" i="15"/>
  <c r="I17" i="15"/>
  <c r="F17" i="15"/>
  <c r="J29" i="15"/>
  <c r="G29" i="15"/>
  <c r="L29" i="15"/>
  <c r="L19" i="15"/>
  <c r="G19" i="15"/>
  <c r="L161" i="15"/>
  <c r="G161" i="15"/>
  <c r="I48" i="15"/>
  <c r="I160" i="15"/>
  <c r="L141" i="15"/>
  <c r="G141" i="15"/>
  <c r="L75" i="15"/>
  <c r="G75" i="15"/>
  <c r="I158" i="15"/>
  <c r="L93" i="15"/>
  <c r="G93" i="15"/>
  <c r="L78" i="15"/>
  <c r="G78" i="15"/>
  <c r="I147" i="15"/>
  <c r="L95" i="15"/>
  <c r="G95" i="15"/>
  <c r="L120" i="15"/>
  <c r="G120" i="15"/>
  <c r="L65" i="15"/>
  <c r="G65" i="15"/>
  <c r="I101" i="15"/>
  <c r="L71" i="15"/>
  <c r="G71" i="15"/>
  <c r="L157" i="15"/>
  <c r="G157" i="15"/>
  <c r="I140" i="15"/>
  <c r="I145" i="15"/>
  <c r="I127" i="15"/>
  <c r="L88" i="15"/>
  <c r="G88" i="15"/>
  <c r="L89" i="15"/>
  <c r="G89" i="15"/>
  <c r="I124" i="15"/>
  <c r="I119" i="15"/>
  <c r="L104" i="15"/>
  <c r="G104" i="15"/>
  <c r="I25" i="15"/>
  <c r="F29" i="15"/>
  <c r="H46" i="15"/>
  <c r="L28" i="15"/>
  <c r="I15" i="15"/>
  <c r="F57" i="15"/>
  <c r="G13" i="15"/>
  <c r="F13" i="15"/>
  <c r="G34" i="15"/>
  <c r="L34" i="15"/>
  <c r="J34" i="15"/>
  <c r="J47" i="15"/>
  <c r="I47" i="15"/>
  <c r="J22" i="15"/>
  <c r="F22" i="15"/>
  <c r="G22" i="15"/>
  <c r="L22" i="15"/>
  <c r="J36" i="15"/>
  <c r="G36" i="15"/>
  <c r="L36" i="15"/>
  <c r="J20" i="15"/>
  <c r="F20" i="15"/>
  <c r="G20" i="15"/>
  <c r="L20" i="15"/>
  <c r="J14" i="15"/>
  <c r="H14" i="15"/>
  <c r="I14" i="15"/>
  <c r="L86" i="15"/>
  <c r="G86" i="15"/>
  <c r="L82" i="15"/>
  <c r="G82" i="15"/>
  <c r="I91" i="15"/>
  <c r="F86" i="15"/>
  <c r="F19" i="15"/>
  <c r="F161" i="15"/>
  <c r="F82" i="15"/>
  <c r="H91" i="15"/>
  <c r="H48" i="15"/>
  <c r="H160" i="15"/>
  <c r="F141" i="15"/>
  <c r="F75" i="15"/>
  <c r="H158" i="15"/>
  <c r="F93" i="15"/>
  <c r="F78" i="15"/>
  <c r="H147" i="15"/>
  <c r="F95" i="15"/>
  <c r="F120" i="15"/>
  <c r="F65" i="15"/>
  <c r="H101" i="15"/>
  <c r="F71" i="15"/>
  <c r="F157" i="15"/>
  <c r="H140" i="15"/>
  <c r="H145" i="15"/>
  <c r="H127" i="15"/>
  <c r="F88" i="15"/>
  <c r="F89" i="15"/>
  <c r="H124" i="15"/>
  <c r="H119" i="15"/>
  <c r="F104" i="15"/>
  <c r="H25" i="15"/>
  <c r="G46" i="15"/>
  <c r="F15" i="15"/>
  <c r="J33" i="15"/>
  <c r="I33" i="15"/>
  <c r="J26" i="15"/>
  <c r="I26" i="15"/>
  <c r="J44" i="15"/>
  <c r="I44" i="15"/>
  <c r="J137" i="15"/>
  <c r="F137" i="15"/>
  <c r="G137" i="15"/>
  <c r="L137" i="15"/>
  <c r="J52" i="15"/>
  <c r="G52" i="15"/>
  <c r="L52" i="15"/>
  <c r="H52" i="15"/>
  <c r="J31" i="15"/>
  <c r="G31" i="15"/>
  <c r="L31" i="15"/>
  <c r="I12" i="15"/>
  <c r="J12" i="15"/>
  <c r="F12" i="15"/>
  <c r="J16" i="15"/>
  <c r="G16" i="15"/>
  <c r="L16" i="15"/>
  <c r="H16" i="15"/>
  <c r="I13" i="15"/>
  <c r="J13" i="15"/>
  <c r="J51" i="15"/>
  <c r="A13" i="15"/>
  <c r="L13" i="15"/>
  <c r="L5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A71" i="15"/>
  <c r="A52" i="15"/>
  <c r="A101" i="15"/>
  <c r="A48" i="15"/>
  <c r="A63" i="15"/>
  <c r="A36" i="15"/>
  <c r="A124" i="15"/>
  <c r="A154" i="15"/>
  <c r="A66" i="15"/>
  <c r="A119" i="15"/>
  <c r="A130" i="15"/>
  <c r="A65" i="15"/>
  <c r="A31" i="15"/>
  <c r="A47" i="15"/>
  <c r="A25" i="15"/>
  <c r="A26" i="15"/>
  <c r="A77" i="15"/>
  <c r="A110" i="15"/>
  <c r="A91" i="15"/>
  <c r="A153" i="15"/>
  <c r="A102" i="15"/>
  <c r="A19" i="15"/>
  <c r="A137" i="15"/>
  <c r="A78" i="15"/>
  <c r="A132" i="15"/>
  <c r="A12" i="15"/>
  <c r="A28" i="15"/>
  <c r="A44" i="15"/>
  <c r="A42" i="15"/>
  <c r="A83" i="15"/>
  <c r="A87" i="15"/>
  <c r="A107" i="15"/>
  <c r="A155" i="15"/>
  <c r="A158" i="15"/>
  <c r="A15" i="15"/>
  <c r="A40" i="15"/>
  <c r="A27" i="15"/>
  <c r="A64" i="15"/>
  <c r="A97" i="15"/>
  <c r="A117" i="15"/>
  <c r="A142" i="15"/>
  <c r="A118" i="15"/>
  <c r="A11" i="15"/>
  <c r="A152" i="15"/>
  <c r="A149" i="15"/>
  <c r="A104" i="15"/>
  <c r="A95" i="15"/>
  <c r="A43" i="15"/>
  <c r="A144" i="15"/>
  <c r="A46" i="15"/>
  <c r="A143" i="15"/>
  <c r="A23" i="15"/>
  <c r="A115" i="15"/>
  <c r="A20" i="15"/>
  <c r="A16" i="15"/>
  <c r="A73" i="15"/>
  <c r="A85" i="15"/>
  <c r="A17" i="15"/>
  <c r="A103" i="15"/>
  <c r="A123" i="15"/>
  <c r="A116" i="15"/>
  <c r="A88" i="15"/>
  <c r="A82" i="15"/>
  <c r="A22" i="15"/>
  <c r="A68" i="15"/>
  <c r="A86" i="15"/>
  <c r="A67" i="15"/>
  <c r="A133" i="15"/>
  <c r="A145" i="15"/>
  <c r="A129" i="15"/>
  <c r="A32" i="15"/>
  <c r="A106" i="15"/>
  <c r="A62" i="15"/>
  <c r="A120" i="15"/>
  <c r="A57" i="15"/>
  <c r="A24" i="15"/>
  <c r="A76" i="15"/>
  <c r="A84" i="15"/>
  <c r="A60" i="15"/>
  <c r="A98" i="15"/>
  <c r="A140" i="15"/>
  <c r="A113" i="15"/>
  <c r="A161" i="15"/>
  <c r="A37" i="15"/>
  <c r="A45" i="15"/>
  <c r="A54" i="15"/>
  <c r="A59" i="15"/>
  <c r="A81" i="15"/>
  <c r="A151" i="15"/>
  <c r="A156" i="15"/>
  <c r="A147" i="15"/>
  <c r="A10" i="15"/>
  <c r="A92" i="15"/>
  <c r="A109" i="15"/>
  <c r="A58" i="15"/>
  <c r="A159" i="15"/>
  <c r="A128" i="15"/>
  <c r="A80" i="15"/>
  <c r="A56" i="15"/>
  <c r="A99" i="15"/>
  <c r="A134" i="15"/>
  <c r="A136" i="15"/>
  <c r="A108" i="15"/>
  <c r="A14" i="15"/>
  <c r="A79" i="15"/>
  <c r="A61" i="15"/>
  <c r="A34" i="15"/>
  <c r="A126" i="15"/>
  <c r="A150" i="15"/>
  <c r="A125" i="15"/>
  <c r="A141" i="15"/>
  <c r="A138" i="15"/>
  <c r="A51" i="15"/>
  <c r="A55" i="15"/>
  <c r="A39" i="15"/>
  <c r="A38" i="15"/>
  <c r="A74" i="15"/>
  <c r="A89" i="15"/>
  <c r="A135" i="15"/>
  <c r="A157" i="15"/>
  <c r="A94" i="15"/>
  <c r="A69" i="15"/>
  <c r="A33" i="15"/>
  <c r="A112" i="15"/>
  <c r="A121" i="15"/>
  <c r="A21" i="15"/>
  <c r="A53" i="15"/>
  <c r="A111" i="15"/>
  <c r="A93" i="15"/>
  <c r="A114" i="15"/>
  <c r="A131" i="15"/>
  <c r="A160" i="15"/>
  <c r="A139" i="15"/>
  <c r="A96" i="15"/>
  <c r="A18" i="15"/>
  <c r="A49" i="15"/>
  <c r="A72" i="15"/>
  <c r="A35" i="15"/>
  <c r="A70" i="15"/>
  <c r="A75" i="15"/>
  <c r="A148" i="15"/>
  <c r="A41" i="15"/>
  <c r="A50" i="15"/>
  <c r="A105" i="15"/>
  <c r="A146" i="15"/>
  <c r="A90" i="15"/>
  <c r="A30" i="15"/>
  <c r="A127" i="15"/>
  <c r="A29" i="15"/>
  <c r="A122" i="15"/>
  <c r="A100" i="15"/>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<sst xmlns="http://schemas.openxmlformats.org/spreadsheetml/2006/main" count="4506" uniqueCount="467">
  <si>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</si>
  <si>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</si>
  <si>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</si>
  <si>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</si>
  <si>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</si>
  <si>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</si>
  <si>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</si>
  <si>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</si>
  <si>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</si>
  <si>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</si>
  <si>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</si>
  <si>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</si>
  <si>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</si>
  <si>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</si>
  <si>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</si>
  <si>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</si>
  <si>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</si>
  <si>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</si>
  <si>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</si>
  <si>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</si>
  <si>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</si>
  <si>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</si>
  <si>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</si>
  <si>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</si>
  <si>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</si>
  <si>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</si>
  <si>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</si>
  <si>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</si>
  <si>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</si>
  <si>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</si>
  <si>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</si>
  <si>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</si>
  <si>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</si>
  <si>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</si>
  <si>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</si>
  <si>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</si>
  <si>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</si>
  <si>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</si>
  <si>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</si>
  <si>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</si>
  <si>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</si>
  <si>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</si>
  <si>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</si>
  <si>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</si>
  <si>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</si>
  <si>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</si>
  <si>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</si>
  <si>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</si>
  <si>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</si>
  <si>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</si>
  <si>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</si>
  <si>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</si>
  <si>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</si>
  <si>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</si>
  <si>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</si>
  <si>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</si>
  <si>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</si>
  <si>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</si>
  <si>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</si>
  <si>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</si>
  <si>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</si>
  <si>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</si>
  <si>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</si>
  <si>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</si>
  <si>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</si>
  <si>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</si>
  <si>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</si>
  <si>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</si>
  <si>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</si>
  <si>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</si>
  <si>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</si>
  <si>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</si>
  <si>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</si>
  <si>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</si>
  <si>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</si>
  <si>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</si>
  <si>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</si>
  <si>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</si>
  <si>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</si>
  <si>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</si>
  <si>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</si>
  <si>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</si>
  <si>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</si>
  <si>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</si>
  <si>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</si>
  <si>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</si>
  <si>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</si>
  <si>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</si>
  <si>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</si>
  <si>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</si>
  <si>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</si>
  <si>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</si>
  <si>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</si>
  <si>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</si>
  <si>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</si>
  <si>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</si>
  <si>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</si>
  <si>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</si>
  <si>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</si>
  <si>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</si>
  <si>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</si>
  <si>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</si>
  <si>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</si>
  <si>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</si>
  <si>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</si>
  <si>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</si>
  <si>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</si>
  <si>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</si>
  <si>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</si>
  <si>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</si>
  <si>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</si>
  <si>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</si>
  <si>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</si>
  <si>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</si>
  <si>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</si>
  <si>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</si>
  <si>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</si>
  <si>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</si>
  <si>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</si>
  <si>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</si>
  <si>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</si>
  <si>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</si>
  <si>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</si>
  <si>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</si>
  <si>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</si>
  <si>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</si>
  <si>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</si>
  <si>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</si>
  <si>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</si>
  <si>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</si>
  <si>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</si>
  <si>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</si>
  <si>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</si>
  <si>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</si>
  <si>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</si>
  <si>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</si>
  <si>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</si>
  <si>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</si>
  <si>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</si>
  <si>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</si>
  <si>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</si>
  <si>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</si>
  <si>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</si>
  <si>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</si>
  <si>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</si>
  <si>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</si>
  <si>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</si>
  <si>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</si>
  <si>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</si>
  <si>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</si>
  <si>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</si>
  <si>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</si>
  <si>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</si>
  <si>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</si>
  <si>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</si>
  <si>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</si>
  <si>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</si>
  <si>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</si>
  <si>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</si>
  <si>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</si>
  <si>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</si>
  <si>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</si>
  <si>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</si>
  <si>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</si>
  <si>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</si>
  <si>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</si>
  <si>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</si>
  <si>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</si>
  <si>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</si>
  <si>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</si>
  <si>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</si>
  <si>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</si>
  <si>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</si>
  <si>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</si>
  <si>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</si>
  <si>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</si>
  <si>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</si>
  <si>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</si>
  <si>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</si>
  <si>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</si>
  <si>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</si>
  <si>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</si>
  <si>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</si>
  <si>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</si>
  <si>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</si>
  <si>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</si>
  <si>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</si>
  <si>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</si>
  <si>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</si>
  <si>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</si>
  <si>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</si>
  <si>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</si>
  <si>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</si>
  <si>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</si>
  <si>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</si>
  <si>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</si>
  <si>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</si>
  <si>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</si>
  <si>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</si>
  <si>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</si>
  <si>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</si>
  <si>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</si>
  <si>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</si>
  <si>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</si>
  <si>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</si>
  <si>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</si>
  <si>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</si>
  <si>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</si>
  <si>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</si>
  <si>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</si>
  <si>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</si>
  <si>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</si>
  <si>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</si>
  <si>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</si>
  <si>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</si>
  <si>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</si>
  <si>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</si>
  <si>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</si>
  <si>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</si>
  <si>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</si>
  <si>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</si>
  <si>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</si>
  <si>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</si>
  <si>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</si>
  <si>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</si>
  <si>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</si>
  <si>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</si>
  <si>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</si>
  <si>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</si>
  <si>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</si>
  <si>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</si>
  <si>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</si>
  <si>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</si>
  <si>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</si>
  <si>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</si>
  <si>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</si>
  <si>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</si>
  <si>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</si>
  <si>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</si>
  <si>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</si>
  <si>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</si>
  <si>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</si>
  <si>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</si>
  <si>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</si>
  <si>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</si>
  <si>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</si>
  <si>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</si>
  <si>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</si>
  <si>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</si>
  <si>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</si>
  <si>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</si>
  <si>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</si>
  <si>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</si>
  <si>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</si>
  <si>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</si>
  <si>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</si>
  <si>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</si>
  <si>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</si>
  <si>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</si>
  <si>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</si>
  <si>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</si>
  <si>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</si>
  <si>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</si>
  <si>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</si>
  <si>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</si>
  <si>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</si>
  <si>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</si>
  <si>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</si>
  <si>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</si>
  <si>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</si>
  <si>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</si>
  <si>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</si>
  <si>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</si>
  <si>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</si>
  <si>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</si>
  <si>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</si>
  <si>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</si>
  <si>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</si>
  <si>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</si>
  <si>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</si>
  <si>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</si>
  <si>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</si>
  <si>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</si>
  <si>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</si>
  <si>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</si>
  <si>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</si>
  <si>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</si>
  <si>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</si>
  <si>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</si>
  <si>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</si>
  <si>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</si>
  <si>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</si>
  <si>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</si>
  <si>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</si>
  <si>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</si>
  <si>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</si>
  <si>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</si>
  <si>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</si>
  <si>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</si>
  <si>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</si>
  <si>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</si>
  <si>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</si>
  <si>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</si>
  <si>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</si>
  <si>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</si>
  <si>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</si>
  <si>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</si>
  <si>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</si>
  <si>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</si>
  <si>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</si>
  <si>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</si>
  <si>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</si>
  <si>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</si>
  <si>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</si>
  <si>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</si>
  <si>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</si>
  <si>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</si>
  <si>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</si>
  <si>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</si>
  <si>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</si>
  <si>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</si>
  <si>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</si>
  <si>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</si>
  <si>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</si>
  <si>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</si>
  <si>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</si>
  <si>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</si>
  <si>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</si>
  <si>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</si>
  <si>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</si>
  <si>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</si>
  <si>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</si>
  <si>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</si>
  <si>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</si>
  <si>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</si>
  <si>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</si>
  <si>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Calibri"/>
        <family val="2"/>
        <scheme val="minor"/>
      </rPr>
      <t>(thousands)</t>
    </r>
  </si>
  <si>
    <r>
      <t xml:space="preserve">LifeExp </t>
    </r>
    <r>
      <rPr>
        <sz val="11"/>
        <color theme="1"/>
        <rFont val="Calibri"/>
        <family val="2"/>
        <scheme val="minor"/>
      </rPr>
      <t>(years)</t>
    </r>
  </si>
  <si>
    <r>
      <t xml:space="preserve">Ladder of life </t>
    </r>
    <r>
      <rPr>
        <sz val="11"/>
        <color theme="1"/>
        <rFont val="Calibri"/>
        <family val="2"/>
        <scheme val="minor"/>
      </rPr>
      <t>(0-10)</t>
    </r>
  </si>
  <si>
    <r>
      <t xml:space="preserve">Footprint </t>
    </r>
    <r>
      <rPr>
        <sz val="11"/>
        <color theme="1"/>
        <rFont val="Calibri"/>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</si>
  <si>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</si>
  <si>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</si>
  <si>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</si>
  <si>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</si>
  <si>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</si>
  <si>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</si>
  <si>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</si>
  <si>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</si>
  <si>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</si>
  <si>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</si>
  <si>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</si>
  <si>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</si>
  <si>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</si>
  <si>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</si>
  <si>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</si>
  <si>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</si>
  <si>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</si>
  <si>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</si>
  <si>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</si>
  <si>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</si>
  <si>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</si>
  <si>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</si>
  <si>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</si>
  <si>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</si>
  <si>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</si>
  <si>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</si>
  <si>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</si>
  <si>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</si>
  <si>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</si>
  <si>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</si>
  <si>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</si>
  <si>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</si>
  <si>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</si>
  <si>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</si>
  <si>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</si>
  <si>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</si>
  <si>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Ladder of life (Wellbeing) </t>
    </r>
    <r>
      <rPr>
        <sz val="11"/>
        <color theme="0"/>
        <rFont val="Azeret Mono"/>
      </rPr>
      <t>(0-10)</t>
    </r>
  </si>
  <si>
    <r>
      <t xml:space="preserve">Ecological Footprint </t>
    </r>
    <r>
      <rPr>
        <sz val="11"/>
        <color theme="0"/>
        <rFont val="Azeret Mono"/>
      </rPr>
      <t>(g ha)</t>
    </r>
  </si>
  <si>
    <r>
      <t xml:space="preserve">Biocapacity for year 
</t>
    </r>
    <r>
      <rPr>
        <sz val="10"/>
        <color theme="0"/>
        <rFont val="Azeret Mono"/>
      </rPr>
      <t>(g ha)</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</si>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</sst>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
    <numFmt numFmtId="167" formatCode="\+0.00;\-0.00;0.00"/>
    <numFmt numFmtId="168" formatCode="_(* #,##0_);_(* \(#,##0\);_(* &quot;-&quot;??_);_(@_)"/>
    <numFmt numFmtId="169" formatCode="0.0%"/>
  </numFmts>
  <fonts count="47">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b/>
      <sz val="11"/>
      <name val="Calibri"/>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Calibri"/>
      <family val="2"/>
      <scheme val="minor"/>
    </font>
    <font>
      <u/>
      <sz val="14"/>
      <color theme="10"/>
      <name val="Azeret Mono"/>
    </font>
    <font>
      <b/>
      <sz val="20"/>
      <color rgb="FF0070C0"/>
      <name val="Azeret Mono"/>
    </font>
    <font>
      <i/>
      <sz val="14"/>
      <color theme="1"/>
      <name val="Azeret Mono"/>
    </font>
    <font>
      <sz val="11"/>
      <color theme="1"/>
      <name val="Calibri"/>
      <family val="2"/>
      <scheme val="minor"/>
    </font>
    <font>
      <i/>
      <sz val="11"/>
      <color theme="1"/>
      <name val="Calibri"/>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1">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64" fontId="0" fillId="0" borderId="0" xfId="0" applyNumberFormat="1"/>
    <xf numFmtId="2" fontId="0" fillId="0" borderId="0" xfId="0" applyNumberFormat="1"/>
    <xf numFmtId="165" fontId="3" fillId="0" borderId="0" xfId="1" applyNumberFormat="1"/>
    <xf numFmtId="2" fontId="0" fillId="2" borderId="0" xfId="0" applyNumberFormat="1" applyFill="1"/>
    <xf numFmtId="0" fontId="3" fillId="0" borderId="0" xfId="0" applyFont="1"/>
    <xf numFmtId="166" fontId="0" fillId="0" borderId="0" xfId="0" applyNumberFormat="1"/>
    <xf numFmtId="164" fontId="0" fillId="2" borderId="0" xfId="0" applyNumberFormat="1" applyFill="1"/>
    <xf numFmtId="164"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64" fontId="0" fillId="0" borderId="1" xfId="0" applyNumberFormat="1" applyBorder="1"/>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xf numFmtId="0" fontId="17" fillId="9" borderId="0" xfId="0" applyFont="1" applyFill="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Border="1" applyAlignment="1">
      <alignment wrapText="1"/>
    </xf>
    <xf numFmtId="0" fontId="19" fillId="0" borderId="0" xfId="0" applyFont="1" applyAlignment="1">
      <alignment wrapText="1"/>
    </xf>
    <xf numFmtId="0" fontId="14" fillId="0" borderId="14" xfId="0" applyFont="1" applyBorder="1" applyAlignment="1">
      <alignment horizontal="left" vertical="top"/>
    </xf>
    <xf numFmtId="164" fontId="15" fillId="0" borderId="0" xfId="0" applyNumberFormat="1" applyFont="1"/>
    <xf numFmtId="2" fontId="15" fillId="0" borderId="0" xfId="0" applyNumberFormat="1" applyFont="1"/>
    <xf numFmtId="164"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64" fontId="15" fillId="0" borderId="17" xfId="0" applyNumberFormat="1" applyFont="1" applyBorder="1"/>
    <xf numFmtId="2" fontId="15" fillId="0" borderId="10" xfId="0" applyNumberFormat="1" applyFont="1" applyBorder="1"/>
    <xf numFmtId="164"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67" fontId="15" fillId="0" borderId="12" xfId="0" applyNumberFormat="1" applyFont="1" applyBorder="1" applyAlignment="1">
      <alignment vertical="top"/>
    </xf>
    <xf numFmtId="167"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vertical="top"/>
    </xf>
    <xf numFmtId="164" fontId="15" fillId="0" borderId="0" xfId="0" applyNumberFormat="1" applyFont="1" applyAlignment="1">
      <alignment horizontal="right"/>
    </xf>
    <xf numFmtId="0" fontId="18" fillId="0" borderId="0" xfId="0" applyFont="1" applyAlignment="1">
      <alignment horizontal="left" vertical="top"/>
    </xf>
    <xf numFmtId="164"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66" fontId="28" fillId="0" borderId="0" xfId="0" applyNumberFormat="1" applyFont="1"/>
    <xf numFmtId="0" fontId="15" fillId="0" borderId="1" xfId="0" applyFont="1" applyBorder="1"/>
    <xf numFmtId="165" fontId="30" fillId="0" borderId="0" xfId="1" applyNumberFormat="1" applyFont="1"/>
    <xf numFmtId="164" fontId="29" fillId="0" borderId="0" xfId="1" applyNumberFormat="1" applyFont="1"/>
    <xf numFmtId="1" fontId="15" fillId="0" borderId="3" xfId="0" applyNumberFormat="1" applyFont="1" applyBorder="1"/>
    <xf numFmtId="0" fontId="30" fillId="0" borderId="0" xfId="0" applyFont="1"/>
    <xf numFmtId="0" fontId="15" fillId="0" borderId="17" xfId="0" applyFont="1" applyBorder="1"/>
    <xf numFmtId="0" fontId="15" fillId="0" borderId="10" xfId="0" applyFont="1" applyBorder="1"/>
    <xf numFmtId="165" fontId="30" fillId="0" borderId="10" xfId="1" applyNumberFormat="1" applyFont="1" applyBorder="1"/>
    <xf numFmtId="164" fontId="15" fillId="0" borderId="10" xfId="0" applyNumberFormat="1" applyFont="1" applyBorder="1"/>
    <xf numFmtId="164" fontId="29" fillId="0" borderId="10" xfId="1" applyNumberFormat="1" applyFont="1" applyBorder="1"/>
    <xf numFmtId="1" fontId="15" fillId="0" borderId="11" xfId="0" applyNumberFormat="1" applyFont="1" applyBorder="1"/>
    <xf numFmtId="166"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64"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68"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68"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68"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68"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68"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69" fontId="41" fillId="5" borderId="41" xfId="6" applyNumberFormat="1" applyFont="1" applyFill="1" applyBorder="1" applyAlignment="1">
      <alignment horizontal="right" vertical="center"/>
    </xf>
    <xf numFmtId="168"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68" fontId="25" fillId="9" borderId="46" xfId="5" applyNumberFormat="1" applyFont="1" applyFill="1" applyBorder="1" applyAlignment="1">
      <alignment horizontal="right" vertical="center"/>
    </xf>
    <xf numFmtId="168"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68" fontId="25" fillId="9" borderId="31" xfId="5" applyNumberFormat="1" applyFont="1" applyFill="1" applyBorder="1" applyAlignment="1">
      <alignment horizontal="right" vertical="center"/>
    </xf>
    <xf numFmtId="168"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69" fontId="25" fillId="9" borderId="31" xfId="6" applyNumberFormat="1" applyFont="1" applyFill="1" applyBorder="1" applyAlignment="1">
      <alignment horizontal="right" vertical="center"/>
    </xf>
    <xf numFmtId="169" fontId="25" fillId="9" borderId="28" xfId="6" applyNumberFormat="1" applyFont="1" applyFill="1" applyBorder="1" applyAlignment="1">
      <alignment horizontal="right" vertical="center"/>
    </xf>
    <xf numFmtId="169"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2" fillId="0" borderId="0" xfId="0" applyFont="1" applyAlignment="1">
      <alignment horizontal="center"/>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chartsheet" Target="chartsheets/sheet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0.66553155545082987</c:v>
                </c:pt>
                <c:pt idx="1">
                  <c:v>0.68836822554210919</c:v>
                </c:pt>
                <c:pt idx="2">
                  <c:v>0.71120489563339018</c:v>
                </c:pt>
                <c:pt idx="3">
                  <c:v>0.73404156572467116</c:v>
                </c:pt>
                <c:pt idx="4">
                  <c:v>0.75687823581595204</c:v>
                </c:pt>
                <c:pt idx="5">
                  <c:v>0.76829657086159175</c:v>
                </c:pt>
                <c:pt idx="6">
                  <c:v>0.77971490590723302</c:v>
                </c:pt>
                <c:pt idx="7">
                  <c:v>0.77971490590723302</c:v>
                </c:pt>
                <c:pt idx="8">
                  <c:v>0.77971490590723302</c:v>
                </c:pt>
                <c:pt idx="9">
                  <c:v>0.77971490590723302</c:v>
                </c:pt>
                <c:pt idx="10">
                  <c:v>0.77971490590723302</c:v>
                </c:pt>
                <c:pt idx="11">
                  <c:v>0.77971490590723302</c:v>
                </c:pt>
                <c:pt idx="12">
                  <c:v>0.77971490590723302</c:v>
                </c:pt>
                <c:pt idx="13">
                  <c:v>0.77971490590723302</c:v>
                </c:pt>
                <c:pt idx="14">
                  <c:v>0.60843988022262829</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1.5672147500660263</c:v>
                </c:pt>
                <c:pt idx="1">
                  <c:v>1.8613487107613287</c:v>
                </c:pt>
                <c:pt idx="2">
                  <c:v>1.6548541112673534</c:v>
                </c:pt>
                <c:pt idx="3">
                  <c:v>1.5460931905605861</c:v>
                </c:pt>
                <c:pt idx="4">
                  <c:v>1.5510566362431675</c:v>
                </c:pt>
                <c:pt idx="5">
                  <c:v>1.5079645179408943</c:v>
                </c:pt>
                <c:pt idx="6">
                  <c:v>1.4289304406206744</c:v>
                </c:pt>
                <c:pt idx="7">
                  <c:v>1.6272084393839208</c:v>
                </c:pt>
                <c:pt idx="8">
                  <c:v>1.5399437738259245</c:v>
                </c:pt>
                <c:pt idx="9">
                  <c:v>1.2846785520322772</c:v>
                </c:pt>
                <c:pt idx="10">
                  <c:v>1.2310356147777572</c:v>
                </c:pt>
                <c:pt idx="11">
                  <c:v>1.398291866092946</c:v>
                </c:pt>
                <c:pt idx="12">
                  <c:v>1.3013347058787939</c:v>
                </c:pt>
                <c:pt idx="13">
                  <c:v>1.3555727479786039</c:v>
                </c:pt>
                <c:pt idx="14">
                  <c:v>1.4305847812269181</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2.7367282590990092</c:v>
                </c:pt>
                <c:pt idx="1">
                  <c:v>2.6655620100398059</c:v>
                </c:pt>
                <c:pt idx="2">
                  <c:v>2.4378347892713728</c:v>
                </c:pt>
                <c:pt idx="3">
                  <c:v>2.1109836336050458</c:v>
                </c:pt>
                <c:pt idx="4">
                  <c:v>2.2442743638460629</c:v>
                </c:pt>
                <c:pt idx="5">
                  <c:v>2.0631556358894674</c:v>
                </c:pt>
                <c:pt idx="6">
                  <c:v>1.9172516536844872</c:v>
                </c:pt>
                <c:pt idx="7">
                  <c:v>2.0052839437981573</c:v>
                </c:pt>
                <c:pt idx="8">
                  <c:v>1.9875555415066657</c:v>
                </c:pt>
                <c:pt idx="9">
                  <c:v>1.9266889629633754</c:v>
                </c:pt>
                <c:pt idx="10">
                  <c:v>1.9650562970458099</c:v>
                </c:pt>
                <c:pt idx="11">
                  <c:v>1.9137643434858236</c:v>
                </c:pt>
                <c:pt idx="12">
                  <c:v>1.9587570675320802</c:v>
                </c:pt>
                <c:pt idx="13">
                  <c:v>1.9828877029400382</c:v>
                </c:pt>
                <c:pt idx="14">
                  <c:v>1.5847834119913951</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-0.97162698786741053</c:v>
                </c:pt>
                <c:pt idx="1">
                  <c:v>-0.78276344592151414</c:v>
                </c:pt>
                <c:pt idx="2">
                  <c:v>-0.72443011630095222</c:v>
                </c:pt>
                <c:pt idx="3">
                  <c:v>-0.55429073094936121</c:v>
                </c:pt>
                <c:pt idx="4">
                  <c:v>-0.64146445190840962</c:v>
                </c:pt>
                <c:pt idx="5">
                  <c:v>-0.53710960027814958</c:v>
                </c:pt>
                <c:pt idx="6">
                  <c:v>-0.47921786495190216</c:v>
                </c:pt>
                <c:pt idx="7">
                  <c:v>-0.4331384368651135</c:v>
                </c:pt>
                <c:pt idx="8">
                  <c:v>-0.47263138006147676</c:v>
                </c:pt>
                <c:pt idx="9">
                  <c:v>-0.57703029021117214</c:v>
                </c:pt>
                <c:pt idx="10">
                  <c:v>-0.64068247181982962</c:v>
                </c:pt>
                <c:pt idx="11">
                  <c:v>-0.50999397875899011</c:v>
                </c:pt>
                <c:pt idx="12">
                  <c:v>-0.61375566981548935</c:v>
                </c:pt>
                <c:pt idx="13">
                  <c:v>-0.60774932566088058</c:v>
                </c:pt>
                <c:pt idx="14">
                  <c:v>-0.34816744177428943</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61"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6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0984" cy="6287541"/>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0984" cy="6287541"/>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biaabrar/Downloads/HPI%202006%20-%202020%20(cou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topLeftCell="A2" zoomScale="85" zoomScaleNormal="85" workbookViewId="0"/>
  </sheetViews>
  <sheetFormatPr defaultColWidth="8.81640625" defaultRowHeight="17.5"/>
  <cols>
    <col min="1" max="1" width="3.7265625" style="113" customWidth="1"/>
    <col min="2" max="2" width="9.7265625" style="113" customWidth="1"/>
    <col min="3" max="4" width="8.81640625" style="113"/>
    <col min="5" max="5" width="15.1796875" style="113" customWidth="1"/>
    <col min="6" max="6" width="9.1796875" style="113" customWidth="1"/>
    <col min="7" max="7" width="3.81640625" style="113" customWidth="1"/>
    <col min="8" max="8" width="8.81640625" style="113" customWidth="1"/>
    <col min="9" max="20" width="8.81640625" style="113"/>
    <col min="21" max="21" width="12.81640625" style="113" customWidth="1"/>
    <col min="22" max="16384" width="8.81640625" style="113"/>
  </cols>
  <sheetData>
    <row r="1" spans="1:23" ht="18" thickBot="1">
      <c r="A1" s="25"/>
      <c r="B1" s="25"/>
      <c r="C1" s="25"/>
      <c r="D1" s="25"/>
      <c r="E1" s="25"/>
      <c r="F1" s="25"/>
      <c r="G1" s="25"/>
      <c r="H1" s="25"/>
      <c r="I1" s="25"/>
      <c r="J1" s="25"/>
      <c r="K1" s="25"/>
      <c r="L1" s="25"/>
      <c r="M1" s="25"/>
      <c r="N1" s="25"/>
      <c r="O1" s="25"/>
      <c r="P1" s="25"/>
      <c r="Q1" s="25"/>
      <c r="R1" s="25"/>
      <c r="S1" s="25"/>
      <c r="T1" s="25"/>
      <c r="U1" s="25"/>
      <c r="V1" s="25"/>
      <c r="W1" s="25"/>
    </row>
    <row r="2" spans="1:23">
      <c r="A2" s="25"/>
      <c r="B2" s="21"/>
      <c r="C2" s="22"/>
      <c r="D2" s="22"/>
      <c r="E2" s="22"/>
      <c r="F2" s="22"/>
      <c r="G2" s="22"/>
      <c r="H2" s="22"/>
      <c r="I2" s="22"/>
      <c r="J2" s="22"/>
      <c r="K2" s="22"/>
      <c r="L2" s="22"/>
      <c r="M2" s="22"/>
      <c r="N2" s="22"/>
      <c r="O2" s="22"/>
      <c r="P2" s="22"/>
      <c r="Q2" s="22"/>
      <c r="R2" s="22"/>
      <c r="S2" s="22"/>
      <c r="T2" s="22"/>
      <c r="U2" s="23"/>
      <c r="V2" s="25"/>
      <c r="W2" s="25"/>
    </row>
    <row r="3" spans="1:23" ht="18">
      <c r="A3" s="25"/>
      <c r="B3" s="24"/>
      <c r="C3" s="25"/>
      <c r="D3" s="25"/>
      <c r="E3" s="25"/>
      <c r="F3" s="25"/>
      <c r="G3" s="25"/>
      <c r="H3" s="26"/>
      <c r="I3" s="25"/>
      <c r="J3" s="25"/>
      <c r="K3" s="25"/>
      <c r="L3" s="25"/>
      <c r="M3" s="25"/>
      <c r="N3" s="25"/>
      <c r="O3" s="25"/>
      <c r="P3" s="25"/>
      <c r="Q3" s="25"/>
      <c r="R3" s="25"/>
      <c r="S3" s="25"/>
      <c r="T3" s="25"/>
      <c r="U3" s="27"/>
      <c r="V3" s="25"/>
      <c r="W3" s="25"/>
    </row>
    <row r="4" spans="1:23" ht="18">
      <c r="A4" s="25"/>
      <c r="B4" s="24"/>
      <c r="D4" s="25"/>
      <c r="E4" s="25"/>
      <c r="F4" s="25"/>
      <c r="G4" s="25"/>
      <c r="H4" s="26"/>
      <c r="I4" s="25"/>
      <c r="J4" s="25"/>
      <c r="K4" s="25"/>
      <c r="L4" s="25"/>
      <c r="M4" s="25"/>
      <c r="N4" s="25"/>
      <c r="O4" s="25"/>
      <c r="P4" s="25"/>
      <c r="Q4" s="25"/>
      <c r="R4" s="25"/>
      <c r="S4" s="25"/>
      <c r="T4" s="25"/>
      <c r="U4" s="27"/>
      <c r="V4" s="25"/>
      <c r="W4" s="25"/>
    </row>
    <row r="5" spans="1:23" ht="18">
      <c r="A5" s="25"/>
      <c r="B5" s="24"/>
      <c r="C5" s="25"/>
      <c r="D5" s="25"/>
      <c r="E5" s="25"/>
      <c r="F5" s="25"/>
      <c r="G5" s="25"/>
      <c r="H5" s="26"/>
      <c r="I5" s="25"/>
      <c r="J5" s="25"/>
      <c r="K5" s="25"/>
      <c r="L5" s="25"/>
      <c r="M5" s="25"/>
      <c r="N5" s="25"/>
      <c r="O5" s="25"/>
      <c r="P5" s="25"/>
      <c r="Q5" s="25"/>
      <c r="R5" s="25"/>
      <c r="S5" s="25"/>
      <c r="T5" s="25"/>
      <c r="U5" s="27"/>
      <c r="V5" s="25"/>
      <c r="W5" s="25"/>
    </row>
    <row r="6" spans="1:23">
      <c r="A6" s="25"/>
      <c r="B6" s="24"/>
      <c r="C6" s="25"/>
      <c r="D6" s="25"/>
      <c r="E6" s="25"/>
      <c r="F6" s="25"/>
      <c r="G6" s="25"/>
      <c r="H6" s="25"/>
      <c r="I6" s="25"/>
      <c r="J6" s="25"/>
      <c r="K6" s="25"/>
      <c r="L6" s="25"/>
      <c r="M6" s="25"/>
      <c r="N6" s="25"/>
      <c r="O6" s="25"/>
      <c r="P6" s="25"/>
      <c r="Q6" s="25"/>
      <c r="R6" s="25"/>
      <c r="S6" s="25"/>
      <c r="T6" s="25"/>
      <c r="U6" s="27"/>
      <c r="V6" s="25"/>
      <c r="W6" s="25"/>
    </row>
    <row r="7" spans="1:23" ht="51" customHeight="1">
      <c r="A7" s="25"/>
      <c r="B7" s="24"/>
      <c r="C7" s="25"/>
      <c r="D7" s="25"/>
      <c r="E7" s="25"/>
      <c r="F7" s="25"/>
      <c r="G7" s="25"/>
      <c r="H7" s="25"/>
      <c r="I7" s="25"/>
      <c r="J7" s="25"/>
      <c r="K7" s="25"/>
      <c r="L7" s="25"/>
      <c r="M7" s="25"/>
      <c r="N7" s="25"/>
      <c r="O7" s="25"/>
      <c r="P7" s="25"/>
      <c r="Q7" s="25"/>
      <c r="R7" s="25"/>
      <c r="S7" s="25"/>
      <c r="T7" s="25"/>
      <c r="U7" s="27"/>
      <c r="V7" s="25"/>
      <c r="W7" s="25"/>
    </row>
    <row r="8" spans="1:23" ht="25">
      <c r="A8" s="25"/>
      <c r="B8" s="24"/>
      <c r="C8" s="177" t="s">
        <v>365</v>
      </c>
      <c r="D8" s="177"/>
      <c r="E8" s="177"/>
      <c r="F8" s="177"/>
      <c r="G8" s="177"/>
      <c r="H8" s="177"/>
      <c r="I8" s="177"/>
      <c r="J8" s="177"/>
      <c r="K8" s="29" t="s">
        <v>363</v>
      </c>
      <c r="L8" s="28"/>
      <c r="M8" s="28"/>
      <c r="N8" s="28"/>
      <c r="P8" s="28"/>
      <c r="Q8" s="28"/>
      <c r="R8" s="28"/>
      <c r="S8" s="28"/>
      <c r="T8" s="28"/>
      <c r="U8" s="27"/>
      <c r="V8" s="25"/>
      <c r="W8" s="25"/>
    </row>
    <row r="9" spans="1:23">
      <c r="A9" s="25"/>
      <c r="B9" s="24"/>
      <c r="C9" s="30"/>
      <c r="D9" s="30"/>
      <c r="E9" s="30"/>
      <c r="F9" s="30"/>
      <c r="G9" s="30"/>
      <c r="H9" s="30"/>
      <c r="I9" s="30"/>
      <c r="J9" s="30"/>
      <c r="K9" s="30"/>
      <c r="L9" s="30"/>
      <c r="M9" s="30"/>
      <c r="N9" s="30"/>
      <c r="O9" s="30"/>
      <c r="P9" s="30"/>
      <c r="Q9" s="30"/>
      <c r="R9" s="30"/>
      <c r="S9" s="30"/>
      <c r="T9" s="30"/>
      <c r="U9" s="27"/>
      <c r="V9" s="25"/>
      <c r="W9" s="25"/>
    </row>
    <row r="10" spans="1:23">
      <c r="A10" s="25"/>
      <c r="B10" s="24"/>
      <c r="C10" s="30" t="s">
        <v>384</v>
      </c>
      <c r="D10" s="30"/>
      <c r="E10" s="30"/>
      <c r="F10" s="30"/>
      <c r="G10" s="30"/>
      <c r="H10" s="30"/>
      <c r="I10" s="30"/>
      <c r="J10" s="30"/>
      <c r="K10" s="30"/>
      <c r="L10" s="30"/>
      <c r="M10" s="30"/>
      <c r="N10" s="30"/>
      <c r="O10" s="30"/>
      <c r="P10" s="30"/>
      <c r="Q10" s="30"/>
      <c r="R10" s="30"/>
      <c r="S10" s="30"/>
      <c r="T10" s="30"/>
      <c r="U10" s="27"/>
      <c r="V10" s="25"/>
      <c r="W10" s="25"/>
    </row>
    <row r="11" spans="1:23">
      <c r="A11" s="25"/>
      <c r="B11" s="24"/>
      <c r="C11" s="30"/>
      <c r="D11" s="30"/>
      <c r="E11" s="30"/>
      <c r="F11" s="30"/>
      <c r="G11" s="30"/>
      <c r="H11" s="30"/>
      <c r="I11" s="30"/>
      <c r="J11" s="30"/>
      <c r="K11" s="30"/>
      <c r="L11" s="30"/>
      <c r="M11" s="30"/>
      <c r="N11" s="30"/>
      <c r="O11" s="30"/>
      <c r="P11" s="30"/>
      <c r="Q11" s="30"/>
      <c r="R11" s="30"/>
      <c r="S11" s="30"/>
      <c r="T11" s="30"/>
      <c r="U11" s="27"/>
      <c r="V11" s="25"/>
      <c r="W11" s="25"/>
    </row>
    <row r="12" spans="1:23" ht="18">
      <c r="A12" s="25"/>
      <c r="B12" s="24"/>
      <c r="C12" s="31" t="s">
        <v>364</v>
      </c>
      <c r="D12" s="25"/>
      <c r="E12" s="25"/>
      <c r="F12" s="25"/>
      <c r="G12" s="25"/>
      <c r="H12" s="25"/>
      <c r="I12" s="25"/>
      <c r="J12" s="25"/>
      <c r="K12" s="25"/>
      <c r="L12" s="25"/>
      <c r="M12" s="25"/>
      <c r="N12" s="25"/>
      <c r="O12" s="25"/>
      <c r="P12" s="25"/>
      <c r="Q12" s="25"/>
      <c r="R12" s="25"/>
      <c r="S12" s="25"/>
      <c r="T12" s="25"/>
      <c r="U12" s="27"/>
      <c r="V12" s="25"/>
      <c r="W12" s="25"/>
    </row>
    <row r="13" spans="1:23">
      <c r="A13" s="25"/>
      <c r="B13" s="24"/>
      <c r="C13" s="25"/>
      <c r="D13" s="25"/>
      <c r="E13" s="25"/>
      <c r="F13" s="25"/>
      <c r="G13" s="25"/>
      <c r="H13" s="25"/>
      <c r="I13" s="25"/>
      <c r="J13" s="25"/>
      <c r="K13" s="25"/>
      <c r="L13" s="25"/>
      <c r="M13" s="25"/>
      <c r="N13" s="25"/>
      <c r="O13" s="25"/>
      <c r="P13" s="25"/>
      <c r="Q13" s="25"/>
      <c r="R13" s="25"/>
      <c r="S13" s="25"/>
      <c r="T13" s="25"/>
      <c r="U13" s="27"/>
      <c r="V13" s="25"/>
      <c r="W13" s="25"/>
    </row>
    <row r="14" spans="1:23" ht="18" customHeight="1">
      <c r="A14" s="25"/>
      <c r="B14" s="24"/>
      <c r="C14" s="111" t="s">
        <v>385</v>
      </c>
      <c r="E14" s="32"/>
      <c r="F14" s="32"/>
      <c r="G14" s="112" t="s">
        <v>387</v>
      </c>
      <c r="H14" s="32"/>
      <c r="I14" s="32"/>
      <c r="J14" s="32"/>
      <c r="K14" s="32"/>
      <c r="L14" s="32"/>
      <c r="M14" s="32"/>
      <c r="N14" s="32"/>
      <c r="O14" s="32"/>
      <c r="P14" s="32"/>
      <c r="Q14" s="32"/>
      <c r="R14" s="32"/>
      <c r="S14" s="32"/>
      <c r="T14" s="32"/>
      <c r="U14" s="27"/>
      <c r="V14" s="25"/>
      <c r="W14" s="25"/>
    </row>
    <row r="15" spans="1:23" ht="18" customHeight="1">
      <c r="A15" s="25"/>
      <c r="B15" s="24"/>
      <c r="C15" s="111" t="s">
        <v>386</v>
      </c>
      <c r="E15" s="32"/>
      <c r="F15" s="32"/>
      <c r="G15" s="112" t="s">
        <v>388</v>
      </c>
      <c r="H15" s="32"/>
      <c r="I15" s="32"/>
      <c r="J15" s="32"/>
      <c r="K15" s="32"/>
      <c r="L15" s="32"/>
      <c r="M15" s="32"/>
      <c r="N15" s="32"/>
      <c r="O15" s="32"/>
      <c r="P15" s="32"/>
      <c r="Q15" s="32"/>
      <c r="R15" s="32"/>
      <c r="S15" s="32"/>
      <c r="T15" s="32"/>
      <c r="U15" s="27"/>
      <c r="V15" s="25"/>
      <c r="W15" s="25"/>
    </row>
    <row r="16" spans="1:23" ht="18">
      <c r="A16" s="25"/>
      <c r="B16" s="24"/>
      <c r="C16" s="111" t="s">
        <v>393</v>
      </c>
      <c r="E16" s="25"/>
      <c r="F16" s="25"/>
      <c r="G16" s="112" t="s">
        <v>395</v>
      </c>
      <c r="H16" s="25"/>
      <c r="I16" s="25"/>
      <c r="J16" s="25"/>
      <c r="K16" s="25"/>
      <c r="L16" s="25"/>
      <c r="M16" s="25"/>
      <c r="N16" s="25"/>
      <c r="O16" s="25"/>
      <c r="P16" s="25"/>
      <c r="Q16" s="25"/>
      <c r="R16" s="25"/>
      <c r="S16" s="25"/>
      <c r="T16" s="25"/>
      <c r="U16" s="27"/>
      <c r="V16" s="25"/>
      <c r="W16" s="25"/>
    </row>
    <row r="17" spans="1:23" ht="18">
      <c r="A17" s="25"/>
      <c r="B17" s="24"/>
      <c r="C17" s="111" t="s">
        <v>392</v>
      </c>
      <c r="E17" s="25"/>
      <c r="F17" s="25"/>
      <c r="G17" s="112" t="s">
        <v>394</v>
      </c>
      <c r="H17" s="25"/>
      <c r="I17" s="25"/>
      <c r="J17" s="25"/>
      <c r="K17" s="25"/>
      <c r="L17" s="25"/>
      <c r="M17" s="25"/>
      <c r="N17" s="25"/>
      <c r="O17" s="25"/>
      <c r="P17" s="25"/>
      <c r="Q17" s="25"/>
      <c r="R17" s="25"/>
      <c r="S17" s="25"/>
      <c r="T17" s="25"/>
      <c r="U17" s="27"/>
      <c r="V17" s="25"/>
      <c r="W17" s="25"/>
    </row>
    <row r="18" spans="1:23" ht="18">
      <c r="A18" s="25"/>
      <c r="B18" s="24"/>
      <c r="C18" s="111" t="s">
        <v>466</v>
      </c>
      <c r="E18" s="25"/>
      <c r="F18" s="25"/>
      <c r="G18" s="112" t="s">
        <v>398</v>
      </c>
      <c r="H18" s="25"/>
      <c r="I18" s="25"/>
      <c r="J18" s="25"/>
      <c r="K18" s="25"/>
      <c r="L18" s="25"/>
      <c r="M18" s="25"/>
      <c r="N18" s="25"/>
      <c r="O18" s="25"/>
      <c r="P18" s="25"/>
      <c r="Q18" s="25"/>
      <c r="R18" s="25"/>
      <c r="S18" s="25"/>
      <c r="T18" s="25"/>
      <c r="U18" s="27"/>
      <c r="V18" s="25"/>
      <c r="W18" s="25"/>
    </row>
    <row r="19" spans="1:23" ht="18">
      <c r="A19" s="25"/>
      <c r="B19" s="24"/>
      <c r="C19" s="111" t="s">
        <v>396</v>
      </c>
      <c r="E19" s="25"/>
      <c r="F19" s="25"/>
      <c r="G19" s="112" t="s">
        <v>397</v>
      </c>
      <c r="H19" s="25"/>
      <c r="I19" s="25"/>
      <c r="J19" s="25"/>
      <c r="K19" s="25"/>
      <c r="L19" s="25"/>
      <c r="M19" s="25"/>
      <c r="N19" s="25"/>
      <c r="O19" s="25"/>
      <c r="P19" s="25"/>
      <c r="Q19" s="25"/>
      <c r="R19" s="25"/>
      <c r="S19" s="25"/>
      <c r="T19" s="25"/>
      <c r="U19" s="27"/>
      <c r="V19" s="25"/>
      <c r="W19" s="25"/>
    </row>
    <row r="20" spans="1:23" ht="18">
      <c r="A20" s="25"/>
      <c r="B20" s="24"/>
      <c r="C20" s="111" t="s">
        <v>459</v>
      </c>
      <c r="E20" s="25"/>
      <c r="F20" s="25"/>
      <c r="G20" s="112" t="s">
        <v>460</v>
      </c>
      <c r="H20" s="25"/>
      <c r="I20" s="25"/>
      <c r="J20" s="25"/>
      <c r="K20" s="25"/>
      <c r="L20" s="25"/>
      <c r="M20" s="25"/>
      <c r="N20" s="25"/>
      <c r="O20" s="25"/>
      <c r="P20" s="25"/>
      <c r="Q20" s="25"/>
      <c r="R20" s="25"/>
      <c r="S20" s="25"/>
      <c r="T20" s="25"/>
      <c r="U20" s="27"/>
      <c r="V20" s="25"/>
      <c r="W20" s="25"/>
    </row>
    <row r="21" spans="1:23" ht="25" customHeight="1">
      <c r="A21" s="25"/>
      <c r="B21" s="24"/>
      <c r="C21" s="111" t="s">
        <v>461</v>
      </c>
      <c r="E21" s="32"/>
      <c r="F21" s="32"/>
      <c r="G21" s="112" t="s">
        <v>362</v>
      </c>
      <c r="H21" s="32"/>
      <c r="I21" s="32"/>
      <c r="J21" s="32"/>
      <c r="K21" s="32"/>
      <c r="L21" s="32"/>
      <c r="M21" s="32"/>
      <c r="N21" s="32"/>
      <c r="O21" s="32"/>
      <c r="P21" s="32"/>
      <c r="Q21" s="32"/>
      <c r="R21" s="32"/>
      <c r="S21" s="32"/>
      <c r="T21" s="32"/>
      <c r="U21" s="27"/>
      <c r="V21" s="25"/>
      <c r="W21" s="25"/>
    </row>
    <row r="22" spans="1:23" ht="60" customHeight="1">
      <c r="A22" s="25"/>
      <c r="B22" s="24"/>
      <c r="C22" s="178" t="s">
        <v>391</v>
      </c>
      <c r="D22" s="178"/>
      <c r="E22" s="178"/>
      <c r="F22" s="178"/>
      <c r="G22" s="178"/>
      <c r="H22" s="178"/>
      <c r="I22" s="178"/>
      <c r="J22" s="178"/>
      <c r="K22" s="178"/>
      <c r="L22" s="178"/>
      <c r="M22" s="178"/>
      <c r="N22" s="178"/>
      <c r="O22" s="178"/>
      <c r="P22" s="33"/>
      <c r="Q22" s="33"/>
      <c r="R22" s="33"/>
      <c r="S22" s="33"/>
      <c r="T22" s="33"/>
      <c r="U22" s="27"/>
      <c r="V22" s="25"/>
      <c r="W22" s="25"/>
    </row>
    <row r="23" spans="1:23" ht="18">
      <c r="A23" s="25"/>
      <c r="B23" s="34"/>
      <c r="C23" s="35"/>
      <c r="D23" s="30"/>
      <c r="E23" s="30"/>
      <c r="F23" s="30"/>
      <c r="G23" s="30"/>
      <c r="H23" s="36"/>
      <c r="I23" s="25"/>
      <c r="J23" s="25"/>
      <c r="K23" s="25"/>
      <c r="L23" s="25"/>
      <c r="M23" s="25"/>
      <c r="N23" s="25"/>
      <c r="O23" s="25"/>
      <c r="P23" s="25"/>
      <c r="Q23" s="25"/>
      <c r="R23" s="25"/>
      <c r="S23" s="25"/>
      <c r="T23" s="25"/>
      <c r="U23" s="27"/>
      <c r="V23" s="25"/>
      <c r="W23" s="25"/>
    </row>
    <row r="24" spans="1:23" ht="18">
      <c r="A24" s="25"/>
      <c r="B24" s="34"/>
      <c r="C24" s="28" t="s">
        <v>380</v>
      </c>
      <c r="D24" s="30"/>
      <c r="E24" s="30"/>
      <c r="F24" s="30"/>
      <c r="G24" s="30"/>
      <c r="H24" s="37"/>
      <c r="I24" s="25"/>
      <c r="J24" s="25"/>
      <c r="K24" s="25"/>
      <c r="L24" s="25"/>
      <c r="M24" s="25"/>
      <c r="N24" s="25"/>
      <c r="O24" s="25"/>
      <c r="P24" s="25"/>
      <c r="Q24" s="25"/>
      <c r="R24" s="25"/>
      <c r="S24" s="25"/>
      <c r="T24" s="25"/>
      <c r="U24" s="27"/>
      <c r="V24" s="25"/>
      <c r="W24" s="25"/>
    </row>
    <row r="25" spans="1:23">
      <c r="A25" s="25"/>
      <c r="B25" s="34"/>
      <c r="C25" s="30" t="s">
        <v>381</v>
      </c>
      <c r="D25" s="30"/>
      <c r="E25" s="30"/>
      <c r="F25" s="30"/>
      <c r="G25" s="30"/>
      <c r="H25" s="37"/>
      <c r="I25" s="25"/>
      <c r="J25" s="25"/>
      <c r="K25" s="25"/>
      <c r="L25" s="25"/>
      <c r="M25" s="25"/>
      <c r="N25" s="25"/>
      <c r="O25" s="25"/>
      <c r="P25" s="25"/>
      <c r="Q25" s="25"/>
      <c r="R25" s="25"/>
      <c r="S25" s="25"/>
      <c r="T25" s="25"/>
      <c r="U25" s="27"/>
      <c r="V25" s="25"/>
      <c r="W25" s="25"/>
    </row>
    <row r="26" spans="1:23">
      <c r="A26" s="25"/>
      <c r="B26" s="34"/>
      <c r="C26" s="30" t="s">
        <v>382</v>
      </c>
      <c r="D26" s="30"/>
      <c r="E26" s="30"/>
      <c r="F26" s="30"/>
      <c r="G26" s="30"/>
      <c r="H26" s="37"/>
      <c r="I26" s="25"/>
      <c r="J26" s="25"/>
      <c r="K26" s="25"/>
      <c r="L26" s="25"/>
      <c r="M26" s="25"/>
      <c r="N26" s="25"/>
      <c r="O26" s="25"/>
      <c r="P26" s="25"/>
      <c r="Q26" s="25"/>
      <c r="R26" s="25"/>
      <c r="S26" s="25"/>
      <c r="T26" s="25"/>
      <c r="U26" s="27"/>
      <c r="V26" s="25"/>
      <c r="W26" s="25"/>
    </row>
    <row r="27" spans="1:23">
      <c r="A27" s="25"/>
      <c r="B27" s="34"/>
      <c r="C27" s="110" t="s">
        <v>383</v>
      </c>
      <c r="D27" s="30"/>
      <c r="E27" s="30"/>
      <c r="F27" s="30"/>
      <c r="G27" s="30"/>
      <c r="H27" s="37"/>
      <c r="I27" s="25"/>
      <c r="J27" s="25"/>
      <c r="K27" s="25"/>
      <c r="L27" s="25"/>
      <c r="M27" s="25"/>
      <c r="N27" s="25"/>
      <c r="O27" s="25"/>
      <c r="P27" s="25"/>
      <c r="Q27" s="25"/>
      <c r="R27" s="25"/>
      <c r="S27" s="25"/>
      <c r="T27" s="25"/>
      <c r="U27" s="27"/>
      <c r="V27" s="25"/>
      <c r="W27" s="25"/>
    </row>
    <row r="28" spans="1:23" ht="18" thickBot="1">
      <c r="A28" s="25"/>
      <c r="B28" s="38"/>
      <c r="C28" s="39"/>
      <c r="D28" s="39"/>
      <c r="E28" s="39"/>
      <c r="F28" s="39"/>
      <c r="G28" s="39"/>
      <c r="H28" s="40"/>
      <c r="I28" s="39"/>
      <c r="J28" s="39"/>
      <c r="K28" s="39"/>
      <c r="L28" s="39"/>
      <c r="M28" s="39"/>
      <c r="N28" s="39"/>
      <c r="O28" s="39"/>
      <c r="P28" s="39"/>
      <c r="Q28" s="39"/>
      <c r="R28" s="39"/>
      <c r="S28" s="39"/>
      <c r="T28" s="39"/>
      <c r="U28" s="41"/>
      <c r="V28" s="25"/>
      <c r="W28" s="25"/>
    </row>
    <row r="29" spans="1:23">
      <c r="A29" s="25"/>
      <c r="B29" s="25"/>
      <c r="C29" s="25"/>
      <c r="D29" s="25"/>
      <c r="E29" s="25"/>
      <c r="F29" s="25"/>
      <c r="G29" s="25"/>
      <c r="H29" s="25"/>
      <c r="I29" s="25"/>
      <c r="J29" s="25"/>
      <c r="K29" s="25"/>
      <c r="L29" s="25"/>
      <c r="M29" s="25"/>
      <c r="N29" s="25"/>
      <c r="O29" s="25"/>
      <c r="P29" s="25"/>
      <c r="Q29" s="25"/>
      <c r="R29" s="25"/>
      <c r="S29" s="25"/>
      <c r="T29" s="25"/>
      <c r="U29" s="25"/>
      <c r="V29" s="25"/>
      <c r="W29" s="25"/>
    </row>
    <row r="30" spans="1:23">
      <c r="A30" s="25"/>
      <c r="B30" s="25"/>
      <c r="C30" s="25"/>
      <c r="D30" s="25"/>
      <c r="E30" s="25"/>
      <c r="F30" s="25"/>
      <c r="G30" s="25"/>
      <c r="H30" s="25"/>
      <c r="I30" s="25"/>
      <c r="J30" s="25"/>
      <c r="K30" s="25"/>
      <c r="L30" s="25"/>
      <c r="M30" s="25"/>
      <c r="N30" s="25"/>
      <c r="O30" s="25"/>
      <c r="P30" s="25"/>
      <c r="Q30" s="25"/>
      <c r="R30" s="25"/>
      <c r="S30" s="25"/>
      <c r="T30" s="25"/>
      <c r="U30" s="25"/>
      <c r="V30" s="25"/>
      <c r="W30" s="25"/>
    </row>
  </sheetData>
  <mergeCells count="2">
    <mergeCell ref="C8:J8"/>
    <mergeCell ref="C22:O22"/>
  </mergeCells>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zoomScale="85" zoomScaleNormal="85" workbookViewId="0">
      <pane ySplit="9" topLeftCell="A15" activePane="bottomLeft" state="frozen"/>
      <selection pane="bottomLeft" activeCell="I9" sqref="I9"/>
    </sheetView>
  </sheetViews>
  <sheetFormatPr defaultColWidth="8.81640625" defaultRowHeight="14"/>
  <cols>
    <col min="1" max="1" width="9.7265625" style="43" customWidth="1"/>
    <col min="2" max="2" width="23" style="43" customWidth="1"/>
    <col min="3" max="3" width="10.1796875" style="43" customWidth="1"/>
    <col min="4" max="4" width="9.1796875" style="43" hidden="1" customWidth="1"/>
    <col min="5" max="5" width="12.453125" style="43" customWidth="1"/>
    <col min="6" max="6" width="14.7265625" style="43" customWidth="1"/>
    <col min="7" max="7" width="19.1796875" style="101" customWidth="1"/>
    <col min="8" max="8" width="19.1796875" style="43" customWidth="1"/>
    <col min="9" max="9" width="23" style="43" customWidth="1"/>
    <col min="10" max="10" width="11" style="42" customWidth="1"/>
    <col min="11" max="11" width="14.1796875" style="43" customWidth="1"/>
    <col min="12" max="12" width="12.453125" style="43" customWidth="1"/>
    <col min="13" max="16384" width="8.81640625" style="43"/>
  </cols>
  <sheetData>
    <row r="1" spans="1:12" s="81" customFormat="1" ht="25">
      <c r="B1" s="84" t="s">
        <v>370</v>
      </c>
    </row>
    <row r="2" spans="1:12">
      <c r="A2" s="179" t="s">
        <v>389</v>
      </c>
      <c r="B2" s="179"/>
      <c r="C2" s="179"/>
      <c r="D2" s="179"/>
      <c r="E2" s="179"/>
      <c r="F2" s="179"/>
      <c r="G2" s="179"/>
      <c r="H2" s="179"/>
      <c r="I2" s="179"/>
      <c r="J2" s="179"/>
      <c r="K2" s="179"/>
      <c r="L2" s="179"/>
    </row>
    <row r="3" spans="1:12" ht="40" customHeight="1">
      <c r="A3" s="179"/>
      <c r="B3" s="179"/>
      <c r="C3" s="179"/>
      <c r="D3" s="179"/>
      <c r="E3" s="179"/>
      <c r="F3" s="179"/>
      <c r="G3" s="179"/>
      <c r="H3" s="179"/>
      <c r="I3" s="179"/>
      <c r="J3" s="179"/>
      <c r="K3" s="179"/>
      <c r="L3" s="179"/>
    </row>
    <row r="4" spans="1:12" ht="17.5">
      <c r="B4" s="20"/>
      <c r="G4" s="43"/>
      <c r="J4" s="43"/>
    </row>
    <row r="5" spans="1:12" s="88" customFormat="1" ht="20">
      <c r="A5" s="85" t="s">
        <v>358</v>
      </c>
      <c r="B5" s="86"/>
      <c r="C5" s="87">
        <v>2020</v>
      </c>
      <c r="G5" s="89"/>
      <c r="J5" s="102" t="s">
        <v>373</v>
      </c>
    </row>
    <row r="6" spans="1:12" s="88" customFormat="1" ht="20">
      <c r="A6" s="85" t="s">
        <v>360</v>
      </c>
      <c r="B6" s="86"/>
      <c r="C6" s="85"/>
      <c r="D6" s="86"/>
      <c r="E6" s="86"/>
      <c r="F6" s="86"/>
      <c r="G6" s="86"/>
      <c r="H6" s="86"/>
      <c r="J6" s="103" t="s">
        <v>371</v>
      </c>
    </row>
    <row r="7" spans="1:12" s="88" customFormat="1" ht="20">
      <c r="J7" s="104" t="s">
        <v>372</v>
      </c>
    </row>
    <row r="8" spans="1:12" customFormat="1" ht="14.5">
      <c r="G8" s="10"/>
      <c r="J8" s="1"/>
    </row>
    <row r="9" spans="1:12" ht="52.5" customHeight="1">
      <c r="A9" s="105" t="s">
        <v>2</v>
      </c>
      <c r="B9" s="106" t="s">
        <v>3</v>
      </c>
      <c r="C9" s="106" t="s">
        <v>175</v>
      </c>
      <c r="D9" s="107"/>
      <c r="E9" s="106" t="s">
        <v>157</v>
      </c>
      <c r="F9" s="106" t="s">
        <v>374</v>
      </c>
      <c r="G9" s="106" t="s">
        <v>375</v>
      </c>
      <c r="H9" s="106" t="s">
        <v>376</v>
      </c>
      <c r="I9" s="106" t="s">
        <v>377</v>
      </c>
      <c r="J9" s="108" t="s">
        <v>167</v>
      </c>
      <c r="K9" s="107" t="s">
        <v>378</v>
      </c>
      <c r="L9" s="109" t="s">
        <v>379</v>
      </c>
    </row>
    <row r="10" spans="1:12">
      <c r="A10" s="90" t="str">
        <f t="shared" ref="A10:A41" si="0">IFERROR(RANK(J10,$J$10:$J$161),"")</f>
        <v/>
      </c>
      <c r="B10" s="43" t="s">
        <v>4</v>
      </c>
      <c r="C10" s="43" t="str">
        <f>VLOOKUP(B10,'country codes'!$A$3:$B$287,2,0)</f>
        <v>CRI</v>
      </c>
      <c r="D10" s="91" t="str">
        <f t="shared" ref="D10:D41" si="1">$C$5&amp;C10</f>
        <v>2020CRI</v>
      </c>
      <c r="E10" s="43">
        <v>1</v>
      </c>
      <c r="F10" s="59">
        <f>VLOOKUP($D10,'All data'!$E$2:$M$2281,2,0)</f>
        <v>5094.1139999999996</v>
      </c>
      <c r="G10" s="59">
        <f>VLOOKUP($D10,'All data'!$E$2:$M$2281,4,0)</f>
        <v>80.5</v>
      </c>
      <c r="H10" s="60" t="str">
        <f>VLOOKUP($D10,'All data'!$E$2:$M$2281,5,0)</f>
        <v/>
      </c>
      <c r="I10" s="60" t="str">
        <f>VLOOKUP($D10,'All data'!$E$2:$M$2281,6,0)</f>
        <v/>
      </c>
      <c r="J10" s="92" t="str">
        <f>VLOOKUP($D10,'All data'!$E$2:$M$2281,7,0)</f>
        <v/>
      </c>
      <c r="K10" s="43">
        <f>VLOOKUP($C$5,'All data'!$G$2285:$J$2299,4,0)</f>
        <v>1.55</v>
      </c>
      <c r="L10" s="93" t="str">
        <f>VLOOKUP($D10,'All data'!$E$2:$M$2281,9,0)</f>
        <v>..</v>
      </c>
    </row>
    <row r="11" spans="1:12">
      <c r="A11" s="90" t="str">
        <f t="shared" si="0"/>
        <v/>
      </c>
      <c r="B11" s="43" t="s">
        <v>11</v>
      </c>
      <c r="C11" s="43" t="str">
        <f>VLOOKUP(B11,'country codes'!$A$3:$B$287,2,0)</f>
        <v>VUT</v>
      </c>
      <c r="D11" s="91" t="str">
        <f t="shared" si="1"/>
        <v>2020VUT</v>
      </c>
      <c r="E11" s="43">
        <v>8</v>
      </c>
      <c r="F11" s="59">
        <f>VLOOKUP($D11,'All data'!$E$2:$M$2281,2,0)</f>
        <v>307.14999999999998</v>
      </c>
      <c r="G11" s="59" t="str">
        <f>VLOOKUP($D11,'All data'!$E$2:$M$2281,4,0)</f>
        <v/>
      </c>
      <c r="H11" s="60">
        <f>VLOOKUP($D11,'All data'!$E$2:$M$2281,5,0)</f>
        <v>7.0365570364958714</v>
      </c>
      <c r="I11" s="60">
        <f>VLOOKUP($D11,'All data'!$E$2:$M$2281,6,0)</f>
        <v>1.5812863870506235</v>
      </c>
      <c r="J11" s="92" t="str">
        <f>VLOOKUP($D11,'All data'!$E$2:$M$2281,7,0)</f>
        <v/>
      </c>
      <c r="K11" s="43">
        <f>VLOOKUP($C$5,'All data'!$G$2285:$J$2299,4,0)</f>
        <v>1.55</v>
      </c>
      <c r="L11" s="93" t="str">
        <f>VLOOKUP($D11,'All data'!$E$2:$M$2281,9,0)</f>
        <v>..</v>
      </c>
    </row>
    <row r="12" spans="1:12">
      <c r="A12" s="90">
        <f t="shared" si="0"/>
        <v>9</v>
      </c>
      <c r="B12" s="43" t="s">
        <v>5</v>
      </c>
      <c r="C12" s="43" t="str">
        <f>VLOOKUP(B12,'country codes'!$A$3:$B$287,2,0)</f>
        <v>COL</v>
      </c>
      <c r="D12" s="91" t="str">
        <f t="shared" si="1"/>
        <v>2020COL</v>
      </c>
      <c r="E12" s="43">
        <v>1</v>
      </c>
      <c r="F12" s="59">
        <f>VLOOKUP($D12,'All data'!$E$2:$M$2281,2,0)</f>
        <v>50882.883999999998</v>
      </c>
      <c r="G12" s="59">
        <f>VLOOKUP($D12,'All data'!$E$2:$M$2281,4,0)</f>
        <v>77.399999999999991</v>
      </c>
      <c r="H12" s="60">
        <f>VLOOKUP($D12,'All data'!$E$2:$M$2281,5,0)</f>
        <v>5.7091751098632813</v>
      </c>
      <c r="I12" s="60">
        <f>VLOOKUP($D12,'All data'!$E$2:$M$2281,6,0)</f>
        <v>1.8672872143705028</v>
      </c>
      <c r="J12" s="92">
        <f>VLOOKUP($D12,'All data'!$E$2:$M$2281,7,0)</f>
        <v>55.794543398384597</v>
      </c>
      <c r="K12" s="43">
        <f>VLOOKUP($C$5,'All data'!$G$2285:$J$2299,4,0)</f>
        <v>1.55</v>
      </c>
      <c r="L12" s="93" t="str">
        <f>VLOOKUP($D12,'All data'!$E$2:$M$2281,9,0)</f>
        <v>..</v>
      </c>
    </row>
    <row r="13" spans="1:12">
      <c r="A13" s="90">
        <f t="shared" si="0"/>
        <v>1</v>
      </c>
      <c r="B13" s="43" t="s">
        <v>15</v>
      </c>
      <c r="C13" s="43" t="str">
        <f>VLOOKUP(B13,'country codes'!$A$3:$B$287,2,0)</f>
        <v>CHE</v>
      </c>
      <c r="D13" s="91" t="str">
        <f t="shared" si="1"/>
        <v>2020CHE</v>
      </c>
      <c r="E13" s="43">
        <v>3</v>
      </c>
      <c r="F13" s="59">
        <f>VLOOKUP($D13,'All data'!$E$2:$M$2281,2,0)</f>
        <v>8654.6180000000004</v>
      </c>
      <c r="G13" s="59">
        <f>VLOOKUP($D13,'All data'!$E$2:$M$2281,4,0)</f>
        <v>83</v>
      </c>
      <c r="H13" s="60">
        <f>VLOOKUP($D13,'All data'!$E$2:$M$2281,5,0)</f>
        <v>7.5084352493286133</v>
      </c>
      <c r="I13" s="60">
        <f>VLOOKUP($D13,'All data'!$E$2:$M$2281,6,0)</f>
        <v>3.4645538716327242</v>
      </c>
      <c r="J13" s="92">
        <f>VLOOKUP($D13,'All data'!$E$2:$M$2281,7,0)</f>
        <v>62.281298510729712</v>
      </c>
      <c r="K13" s="43">
        <f>VLOOKUP($C$5,'All data'!$G$2285:$J$2299,4,0)</f>
        <v>1.55</v>
      </c>
      <c r="L13" s="93" t="str">
        <f>VLOOKUP($D13,'All data'!$E$2:$M$2281,9,0)</f>
        <v>..</v>
      </c>
    </row>
    <row r="14" spans="1:12">
      <c r="A14" s="90">
        <f t="shared" si="0"/>
        <v>10</v>
      </c>
      <c r="B14" s="43" t="s">
        <v>6</v>
      </c>
      <c r="C14" s="43" t="str">
        <f>VLOOKUP(B14,'country codes'!$A$3:$B$287,2,0)</f>
        <v>ECU</v>
      </c>
      <c r="D14" s="91" t="str">
        <f t="shared" si="1"/>
        <v>2020ECU</v>
      </c>
      <c r="E14" s="43">
        <v>1</v>
      </c>
      <c r="F14" s="59">
        <f>VLOOKUP($D14,'All data'!$E$2:$M$2281,2,0)</f>
        <v>17643.060000000001</v>
      </c>
      <c r="G14" s="59">
        <f>VLOOKUP($D14,'All data'!$E$2:$M$2281,4,0)</f>
        <v>74.846855045871564</v>
      </c>
      <c r="H14" s="60">
        <f>VLOOKUP($D14,'All data'!$E$2:$M$2281,5,0)</f>
        <v>5.354461669921875</v>
      </c>
      <c r="I14" s="60">
        <f>VLOOKUP($D14,'All data'!$E$2:$M$2281,6,0)</f>
        <v>1.2976034381927195</v>
      </c>
      <c r="J14" s="92">
        <f>VLOOKUP($D14,'All data'!$E$2:$M$2281,7,0)</f>
        <v>55.036871617812409</v>
      </c>
      <c r="K14" s="43">
        <f>VLOOKUP($C$5,'All data'!$G$2285:$J$2299,4,0)</f>
        <v>1.55</v>
      </c>
      <c r="L14" s="93" t="str">
        <f>VLOOKUP($D14,'All data'!$E$2:$M$2281,9,0)</f>
        <v>..</v>
      </c>
    </row>
    <row r="15" spans="1:12">
      <c r="A15" s="90" t="str">
        <f t="shared" si="0"/>
        <v/>
      </c>
      <c r="B15" s="43" t="s">
        <v>12</v>
      </c>
      <c r="C15" s="43" t="str">
        <f>VLOOKUP(B15,'country codes'!$A$3:$B$287,2,0)</f>
        <v>PAN</v>
      </c>
      <c r="D15" s="91" t="str">
        <f t="shared" si="1"/>
        <v>2020PAN</v>
      </c>
      <c r="E15" s="43">
        <v>1</v>
      </c>
      <c r="F15" s="59">
        <f>VLOOKUP($D15,'All data'!$E$2:$M$2281,2,0)</f>
        <v>4314.768</v>
      </c>
      <c r="G15" s="59">
        <f>VLOOKUP($D15,'All data'!$E$2:$M$2281,4,0)</f>
        <v>75.845365137614678</v>
      </c>
      <c r="H15" s="60" t="str">
        <f>VLOOKUP($D15,'All data'!$E$2:$M$2281,5,0)</f>
        <v/>
      </c>
      <c r="I15" s="60" t="str">
        <f>VLOOKUP($D15,'All data'!$E$2:$M$2281,6,0)</f>
        <v/>
      </c>
      <c r="J15" s="92" t="str">
        <f>VLOOKUP($D15,'All data'!$E$2:$M$2281,7,0)</f>
        <v/>
      </c>
      <c r="K15" s="43">
        <f>VLOOKUP($C$5,'All data'!$G$2285:$J$2299,4,0)</f>
        <v>1.55</v>
      </c>
      <c r="L15" s="93" t="str">
        <f>VLOOKUP($D15,'All data'!$E$2:$M$2281,9,0)</f>
        <v>..</v>
      </c>
    </row>
    <row r="16" spans="1:12">
      <c r="A16" s="90" t="str">
        <f t="shared" si="0"/>
        <v/>
      </c>
      <c r="B16" s="43" t="s">
        <v>9</v>
      </c>
      <c r="C16" s="43" t="str">
        <f>VLOOKUP(B16,'country codes'!$A$3:$B$287,2,0)</f>
        <v>JAM</v>
      </c>
      <c r="D16" s="91" t="str">
        <f t="shared" si="1"/>
        <v>2020JAM</v>
      </c>
      <c r="E16" s="43">
        <v>1</v>
      </c>
      <c r="F16" s="59">
        <f>VLOOKUP($D16,'All data'!$E$2:$M$2281,2,0)</f>
        <v>2961.1610000000001</v>
      </c>
      <c r="G16" s="59">
        <f>VLOOKUP($D16,'All data'!$E$2:$M$2281,4,0)</f>
        <v>74.407119266055034</v>
      </c>
      <c r="H16" s="60" t="str">
        <f>VLOOKUP($D16,'All data'!$E$2:$M$2281,5,0)</f>
        <v/>
      </c>
      <c r="I16" s="60" t="str">
        <f>VLOOKUP($D16,'All data'!$E$2:$M$2281,6,0)</f>
        <v/>
      </c>
      <c r="J16" s="92" t="str">
        <f>VLOOKUP($D16,'All data'!$E$2:$M$2281,7,0)</f>
        <v/>
      </c>
      <c r="K16" s="43">
        <f>VLOOKUP($C$5,'All data'!$G$2285:$J$2299,4,0)</f>
        <v>1.55</v>
      </c>
      <c r="L16" s="93" t="str">
        <f>VLOOKUP($D16,'All data'!$E$2:$M$2281,9,0)</f>
        <v>..</v>
      </c>
    </row>
    <row r="17" spans="1:12">
      <c r="A17" s="90" t="str">
        <f t="shared" si="0"/>
        <v/>
      </c>
      <c r="B17" s="43" t="s">
        <v>8</v>
      </c>
      <c r="C17" s="43" t="str">
        <f>VLOOKUP(B17,'country codes'!$A$3:$B$287,2,0)</f>
        <v>GTM</v>
      </c>
      <c r="D17" s="91" t="str">
        <f t="shared" si="1"/>
        <v>2020GTM</v>
      </c>
      <c r="E17" s="43">
        <v>1</v>
      </c>
      <c r="F17" s="59">
        <f>VLOOKUP($D17,'All data'!$E$2:$M$2281,2,0)</f>
        <v>17915.566999999999</v>
      </c>
      <c r="G17" s="59">
        <f>VLOOKUP($D17,'All data'!$E$2:$M$2281,4,0)</f>
        <v>73.445585321100921</v>
      </c>
      <c r="H17" s="60" t="str">
        <f>VLOOKUP($D17,'All data'!$E$2:$M$2281,5,0)</f>
        <v/>
      </c>
      <c r="I17" s="60" t="str">
        <f>VLOOKUP($D17,'All data'!$E$2:$M$2281,6,0)</f>
        <v/>
      </c>
      <c r="J17" s="92" t="str">
        <f>VLOOKUP($D17,'All data'!$E$2:$M$2281,7,0)</f>
        <v/>
      </c>
      <c r="K17" s="43">
        <f>VLOOKUP($C$5,'All data'!$G$2285:$J$2299,4,0)</f>
        <v>1.55</v>
      </c>
      <c r="L17" s="93" t="str">
        <f>VLOOKUP($D17,'All data'!$E$2:$M$2281,9,0)</f>
        <v>..</v>
      </c>
    </row>
    <row r="18" spans="1:12">
      <c r="A18" s="90" t="str">
        <f t="shared" si="0"/>
        <v/>
      </c>
      <c r="B18" s="43" t="s">
        <v>7</v>
      </c>
      <c r="C18" s="43" t="str">
        <f>VLOOKUP(B18,'country codes'!$A$3:$B$287,2,0)</f>
        <v>HND</v>
      </c>
      <c r="D18" s="91" t="str">
        <f t="shared" si="1"/>
        <v>2020HND</v>
      </c>
      <c r="E18" s="43">
        <v>1</v>
      </c>
      <c r="F18" s="59">
        <f>VLOOKUP($D18,'All data'!$E$2:$M$2281,2,0)</f>
        <v>9904.6080000000002</v>
      </c>
      <c r="G18" s="59">
        <f>VLOOKUP($D18,'All data'!$E$2:$M$2281,4,0)</f>
        <v>74.20126972477064</v>
      </c>
      <c r="H18" s="60" t="str">
        <f>VLOOKUP($D18,'All data'!$E$2:$M$2281,5,0)</f>
        <v/>
      </c>
      <c r="I18" s="60" t="str">
        <f>VLOOKUP($D18,'All data'!$E$2:$M$2281,6,0)</f>
        <v/>
      </c>
      <c r="J18" s="92" t="str">
        <f>VLOOKUP($D18,'All data'!$E$2:$M$2281,7,0)</f>
        <v/>
      </c>
      <c r="K18" s="43">
        <f>VLOOKUP($C$5,'All data'!$G$2285:$J$2299,4,0)</f>
        <v>1.55</v>
      </c>
      <c r="L18" s="93" t="str">
        <f>VLOOKUP($D18,'All data'!$E$2:$M$2281,9,0)</f>
        <v>..</v>
      </c>
    </row>
    <row r="19" spans="1:12">
      <c r="A19" s="90">
        <f t="shared" si="0"/>
        <v>4</v>
      </c>
      <c r="B19" s="43" t="s">
        <v>16</v>
      </c>
      <c r="C19" s="43" t="str">
        <f>VLOOKUP(B19,'country codes'!$A$3:$B$287,2,0)</f>
        <v>URY</v>
      </c>
      <c r="D19" s="91" t="str">
        <f t="shared" si="1"/>
        <v>2020URY</v>
      </c>
      <c r="E19" s="43">
        <v>1</v>
      </c>
      <c r="F19" s="59">
        <f>VLOOKUP($D19,'All data'!$E$2:$M$2281,2,0)</f>
        <v>3473.7269999999999</v>
      </c>
      <c r="G19" s="59">
        <f>VLOOKUP($D19,'All data'!$E$2:$M$2281,4,0)</f>
        <v>77.922847706422033</v>
      </c>
      <c r="H19" s="60">
        <f>VLOOKUP($D19,'All data'!$E$2:$M$2281,5,0)</f>
        <v>6.3096814155578613</v>
      </c>
      <c r="I19" s="60">
        <f>VLOOKUP($D19,'All data'!$E$2:$M$2281,6,0)</f>
        <v>2.372142707188285</v>
      </c>
      <c r="J19" s="92">
        <f>VLOOKUP($D19,'All data'!$E$2:$M$2281,7,0)</f>
        <v>57.113285116068582</v>
      </c>
      <c r="K19" s="43">
        <f>VLOOKUP($C$5,'All data'!$G$2285:$J$2299,4,0)</f>
        <v>1.55</v>
      </c>
      <c r="L19" s="93" t="str">
        <f>VLOOKUP($D19,'All data'!$E$2:$M$2281,9,0)</f>
        <v>..</v>
      </c>
    </row>
    <row r="20" spans="1:12">
      <c r="A20" s="90">
        <f t="shared" si="0"/>
        <v>2</v>
      </c>
      <c r="B20" s="43" t="s">
        <v>25</v>
      </c>
      <c r="C20" s="43" t="str">
        <f>VLOOKUP(B20,'country codes'!$A$3:$B$287,2,0)</f>
        <v>NZL</v>
      </c>
      <c r="D20" s="91" t="str">
        <f t="shared" si="1"/>
        <v>2020NZL</v>
      </c>
      <c r="E20" s="43">
        <v>2</v>
      </c>
      <c r="F20" s="59">
        <f>VLOOKUP($D20,'All data'!$E$2:$M$2281,2,0)</f>
        <v>4822.2330000000002</v>
      </c>
      <c r="G20" s="59">
        <f>VLOOKUP($D20,'All data'!$E$2:$M$2281,4,0)</f>
        <v>82.487141284403663</v>
      </c>
      <c r="H20" s="60">
        <f>VLOOKUP($D20,'All data'!$E$2:$M$2281,5,0)</f>
        <v>7.2573819160461426</v>
      </c>
      <c r="I20" s="60">
        <f>VLOOKUP($D20,'All data'!$E$2:$M$2281,6,0)</f>
        <v>3.3791904119106597</v>
      </c>
      <c r="J20" s="92">
        <f>VLOOKUP($D20,'All data'!$E$2:$M$2281,7,0)</f>
        <v>60.760059241315027</v>
      </c>
      <c r="K20" s="43">
        <f>VLOOKUP($C$5,'All data'!$G$2285:$J$2299,4,0)</f>
        <v>1.55</v>
      </c>
      <c r="L20" s="93" t="str">
        <f>VLOOKUP($D20,'All data'!$E$2:$M$2281,9,0)</f>
        <v>..</v>
      </c>
    </row>
    <row r="21" spans="1:12">
      <c r="A21" s="90">
        <f t="shared" si="0"/>
        <v>36</v>
      </c>
      <c r="B21" s="43" t="s">
        <v>10</v>
      </c>
      <c r="C21" s="43" t="str">
        <f>VLOOKUP(B21,'country codes'!$A$3:$B$287,2,0)</f>
        <v>PHL</v>
      </c>
      <c r="D21" s="91" t="str">
        <f t="shared" si="1"/>
        <v>2020PHL</v>
      </c>
      <c r="E21" s="43">
        <v>8</v>
      </c>
      <c r="F21" s="59">
        <f>VLOOKUP($D21,'All data'!$E$2:$M$2281,2,0)</f>
        <v>109581.08500000001</v>
      </c>
      <c r="G21" s="59">
        <f>VLOOKUP($D21,'All data'!$E$2:$M$2281,4,0)</f>
        <v>71.05568440366973</v>
      </c>
      <c r="H21" s="60">
        <f>VLOOKUP($D21,'All data'!$E$2:$M$2281,5,0)</f>
        <v>5.079585075378418</v>
      </c>
      <c r="I21" s="60">
        <f>VLOOKUP($D21,'All data'!$E$2:$M$2281,6,0)</f>
        <v>1.3969712202024034</v>
      </c>
      <c r="J21" s="92">
        <f>VLOOKUP($D21,'All data'!$E$2:$M$2281,7,0)</f>
        <v>49.271674373849891</v>
      </c>
      <c r="K21" s="43">
        <f>VLOOKUP($C$5,'All data'!$G$2285:$J$2299,4,0)</f>
        <v>1.55</v>
      </c>
      <c r="L21" s="93" t="str">
        <f>VLOOKUP($D21,'All data'!$E$2:$M$2281,9,0)</f>
        <v>..</v>
      </c>
    </row>
    <row r="22" spans="1:12">
      <c r="A22" s="90">
        <f t="shared" si="0"/>
        <v>29</v>
      </c>
      <c r="B22" s="43" t="s">
        <v>17</v>
      </c>
      <c r="C22" s="43" t="str">
        <f>VLOOKUP(B22,'country codes'!$A$3:$B$287,2,0)</f>
        <v>SLV</v>
      </c>
      <c r="D22" s="91" t="str">
        <f t="shared" si="1"/>
        <v>2020SLV</v>
      </c>
      <c r="E22" s="43">
        <v>1</v>
      </c>
      <c r="F22" s="59">
        <f>VLOOKUP($D22,'All data'!$E$2:$M$2281,2,0)</f>
        <v>6486.201</v>
      </c>
      <c r="G22" s="59">
        <f>VLOOKUP($D22,'All data'!$E$2:$M$2281,4,0)</f>
        <v>73.037086238532112</v>
      </c>
      <c r="H22" s="60">
        <f>VLOOKUP($D22,'All data'!$E$2:$M$2281,5,0)</f>
        <v>5.4619269371032715</v>
      </c>
      <c r="I22" s="60">
        <f>VLOOKUP($D22,'All data'!$E$2:$M$2281,6,0)</f>
        <v>1.8742151268656058</v>
      </c>
      <c r="J22" s="92">
        <f>VLOOKUP($D22,'All data'!$E$2:$M$2281,7,0)</f>
        <v>50.527426287356946</v>
      </c>
      <c r="K22" s="43">
        <f>VLOOKUP($C$5,'All data'!$G$2285:$J$2299,4,0)</f>
        <v>1.55</v>
      </c>
      <c r="L22" s="93" t="str">
        <f>VLOOKUP($D22,'All data'!$E$2:$M$2281,9,0)</f>
        <v>..</v>
      </c>
    </row>
    <row r="23" spans="1:12">
      <c r="A23" s="90">
        <f t="shared" si="0"/>
        <v>7</v>
      </c>
      <c r="B23" s="43" t="s">
        <v>29</v>
      </c>
      <c r="C23" s="43" t="str">
        <f>VLOOKUP(B23,'country codes'!$A$3:$B$287,2,0)</f>
        <v>GBR</v>
      </c>
      <c r="D23" s="91" t="str">
        <f t="shared" si="1"/>
        <v>2020GBR</v>
      </c>
      <c r="E23" s="43">
        <v>3</v>
      </c>
      <c r="F23" s="59">
        <f>VLOOKUP($D23,'All data'!$E$2:$M$2281,2,0)</f>
        <v>67886.004000000001</v>
      </c>
      <c r="G23" s="59">
        <f>VLOOKUP($D23,'All data'!$E$2:$M$2281,4,0)</f>
        <v>80.2</v>
      </c>
      <c r="H23" s="60">
        <f>VLOOKUP($D23,'All data'!$E$2:$M$2281,5,0)</f>
        <v>6.7981772422790527</v>
      </c>
      <c r="I23" s="60">
        <f>VLOOKUP($D23,'All data'!$E$2:$M$2281,6,0)</f>
        <v>3.353573614338047</v>
      </c>
      <c r="J23" s="92">
        <f>VLOOKUP($D23,'All data'!$E$2:$M$2281,7,0)</f>
        <v>56.14259850135717</v>
      </c>
      <c r="K23" s="43">
        <f>VLOOKUP($C$5,'All data'!$G$2285:$J$2299,4,0)</f>
        <v>1.55</v>
      </c>
      <c r="L23" s="93" t="str">
        <f>VLOOKUP($D23,'All data'!$E$2:$M$2281,9,0)</f>
        <v>..</v>
      </c>
    </row>
    <row r="24" spans="1:12">
      <c r="A24" s="90" t="str">
        <f t="shared" si="0"/>
        <v/>
      </c>
      <c r="B24" s="43" t="s">
        <v>19</v>
      </c>
      <c r="C24" s="43" t="str">
        <f>VLOOKUP(B24,'country codes'!$A$3:$B$287,2,0)</f>
        <v>PER</v>
      </c>
      <c r="D24" s="91" t="str">
        <f t="shared" si="1"/>
        <v>2020PER</v>
      </c>
      <c r="E24" s="43">
        <v>1</v>
      </c>
      <c r="F24" s="59">
        <f>VLOOKUP($D24,'All data'!$E$2:$M$2281,2,0)</f>
        <v>32971.845999999998</v>
      </c>
      <c r="G24" s="59">
        <f>VLOOKUP($D24,'All data'!$E$2:$M$2281,4,0)</f>
        <v>74.212528440366981</v>
      </c>
      <c r="H24" s="60" t="str">
        <f>VLOOKUP($D24,'All data'!$E$2:$M$2281,5,0)</f>
        <v/>
      </c>
      <c r="I24" s="60">
        <f>VLOOKUP($D24,'All data'!$E$2:$M$2281,6,0)</f>
        <v>1.8694084076360524</v>
      </c>
      <c r="J24" s="92" t="str">
        <f>VLOOKUP($D24,'All data'!$E$2:$M$2281,7,0)</f>
        <v/>
      </c>
      <c r="K24" s="43">
        <f>VLOOKUP($C$5,'All data'!$G$2285:$J$2299,4,0)</f>
        <v>1.55</v>
      </c>
      <c r="L24" s="93" t="str">
        <f>VLOOKUP($D24,'All data'!$E$2:$M$2281,9,0)</f>
        <v>..</v>
      </c>
    </row>
    <row r="25" spans="1:12">
      <c r="A25" s="90" t="str">
        <f t="shared" si="0"/>
        <v/>
      </c>
      <c r="B25" s="43" t="s">
        <v>20</v>
      </c>
      <c r="C25" s="43" t="str">
        <f>VLOOKUP(B25,'country codes'!$A$3:$B$287,2,0)</f>
        <v>NIC</v>
      </c>
      <c r="D25" s="91" t="str">
        <f t="shared" si="1"/>
        <v>2020NIC</v>
      </c>
      <c r="E25" s="43">
        <v>1</v>
      </c>
      <c r="F25" s="59">
        <f>VLOOKUP($D25,'All data'!$E$2:$M$2281,2,0)</f>
        <v>6624.5540000000001</v>
      </c>
      <c r="G25" s="59">
        <f>VLOOKUP($D25,'All data'!$E$2:$M$2281,4,0)</f>
        <v>74.609988990825684</v>
      </c>
      <c r="H25" s="60" t="str">
        <f>VLOOKUP($D25,'All data'!$E$2:$M$2281,5,0)</f>
        <v/>
      </c>
      <c r="I25" s="60" t="str">
        <f>VLOOKUP($D25,'All data'!$E$2:$M$2281,6,0)</f>
        <v/>
      </c>
      <c r="J25" s="92" t="str">
        <f>VLOOKUP($D25,'All data'!$E$2:$M$2281,7,0)</f>
        <v/>
      </c>
      <c r="K25" s="43">
        <f>VLOOKUP($C$5,'All data'!$G$2285:$J$2299,4,0)</f>
        <v>1.55</v>
      </c>
      <c r="L25" s="93" t="str">
        <f>VLOOKUP($D25,'All data'!$E$2:$M$2281,9,0)</f>
        <v>..</v>
      </c>
    </row>
    <row r="26" spans="1:12">
      <c r="A26" s="90">
        <f t="shared" si="0"/>
        <v>13</v>
      </c>
      <c r="B26" s="43" t="s">
        <v>13</v>
      </c>
      <c r="C26" s="43" t="str">
        <f>VLOOKUP(B26,'country codes'!$A$3:$B$287,2,0)</f>
        <v>TJK</v>
      </c>
      <c r="D26" s="91" t="str">
        <f t="shared" si="1"/>
        <v>2020TJK</v>
      </c>
      <c r="E26" s="43">
        <v>7</v>
      </c>
      <c r="F26" s="59">
        <f>VLOOKUP($D26,'All data'!$E$2:$M$2281,2,0)</f>
        <v>9537.6419999999998</v>
      </c>
      <c r="G26" s="59">
        <f>VLOOKUP($D26,'All data'!$E$2:$M$2281,4,0)</f>
        <v>71.274282568807322</v>
      </c>
      <c r="H26" s="60">
        <f>VLOOKUP($D26,'All data'!$E$2:$M$2281,5,0)</f>
        <v>5.3733987808227539</v>
      </c>
      <c r="I26" s="60">
        <f>VLOOKUP($D26,'All data'!$E$2:$M$2281,6,0)</f>
        <v>0.97455684179328761</v>
      </c>
      <c r="J26" s="92">
        <f>VLOOKUP($D26,'All data'!$E$2:$M$2281,7,0)</f>
        <v>54.485678914902699</v>
      </c>
      <c r="K26" s="43">
        <f>VLOOKUP($C$5,'All data'!$G$2285:$J$2299,4,0)</f>
        <v>1.55</v>
      </c>
      <c r="L26" s="93" t="str">
        <f>VLOOKUP($D26,'All data'!$E$2:$M$2281,9,0)</f>
        <v>..</v>
      </c>
    </row>
    <row r="27" spans="1:12">
      <c r="A27" s="90">
        <f t="shared" si="0"/>
        <v>5</v>
      </c>
      <c r="B27" s="43" t="s">
        <v>34</v>
      </c>
      <c r="C27" s="43" t="str">
        <f>VLOOKUP(B27,'country codes'!$A$3:$B$287,2,0)</f>
        <v>NLD</v>
      </c>
      <c r="D27" s="91" t="str">
        <f t="shared" si="1"/>
        <v>2020NLD</v>
      </c>
      <c r="E27" s="43">
        <v>3</v>
      </c>
      <c r="F27" s="59">
        <f>VLOOKUP($D27,'All data'!$E$2:$M$2281,2,0)</f>
        <v>17134.873</v>
      </c>
      <c r="G27" s="59">
        <f>VLOOKUP($D27,'All data'!$E$2:$M$2281,4,0)</f>
        <v>81.599999999999994</v>
      </c>
      <c r="H27" s="60">
        <f>VLOOKUP($D27,'All data'!$E$2:$M$2281,5,0)</f>
        <v>7.5044479370117188</v>
      </c>
      <c r="I27" s="60">
        <f>VLOOKUP($D27,'All data'!$E$2:$M$2281,6,0)</f>
        <v>4.2097978022771363</v>
      </c>
      <c r="J27" s="92">
        <f>VLOOKUP($D27,'All data'!$E$2:$M$2281,7,0)</f>
        <v>56.810538078383772</v>
      </c>
      <c r="K27" s="43">
        <f>VLOOKUP($C$5,'All data'!$G$2285:$J$2299,4,0)</f>
        <v>1.55</v>
      </c>
      <c r="L27" s="93" t="str">
        <f>VLOOKUP($D27,'All data'!$E$2:$M$2281,9,0)</f>
        <v>..</v>
      </c>
    </row>
    <row r="28" spans="1:12">
      <c r="A28" s="90">
        <f t="shared" si="0"/>
        <v>37</v>
      </c>
      <c r="B28" s="43" t="s">
        <v>21</v>
      </c>
      <c r="C28" s="43" t="str">
        <f>VLOOKUP(B28,'country codes'!$A$3:$B$287,2,0)</f>
        <v>DOM</v>
      </c>
      <c r="D28" s="91" t="str">
        <f t="shared" si="1"/>
        <v>2020DOM</v>
      </c>
      <c r="E28" s="43">
        <v>1</v>
      </c>
      <c r="F28" s="59">
        <f>VLOOKUP($D28,'All data'!$E$2:$M$2281,2,0)</f>
        <v>10847.904</v>
      </c>
      <c r="G28" s="59">
        <f>VLOOKUP($D28,'All data'!$E$2:$M$2281,4,0)</f>
        <v>73.631346788990811</v>
      </c>
      <c r="H28" s="60">
        <f>VLOOKUP($D28,'All data'!$E$2:$M$2281,5,0)</f>
        <v>5.1684098243713379</v>
      </c>
      <c r="I28" s="60">
        <f>VLOOKUP($D28,'All data'!$E$2:$M$2281,6,0)</f>
        <v>1.8235074821896951</v>
      </c>
      <c r="J28" s="92">
        <f>VLOOKUP($D28,'All data'!$E$2:$M$2281,7,0)</f>
        <v>49.271137393416687</v>
      </c>
      <c r="K28" s="43">
        <f>VLOOKUP($C$5,'All data'!$G$2285:$J$2299,4,0)</f>
        <v>1.55</v>
      </c>
      <c r="L28" s="93" t="str">
        <f>VLOOKUP($D28,'All data'!$E$2:$M$2281,9,0)</f>
        <v>..</v>
      </c>
    </row>
    <row r="29" spans="1:12">
      <c r="A29" s="90" t="str">
        <f t="shared" si="0"/>
        <v/>
      </c>
      <c r="B29" s="43" t="s">
        <v>18</v>
      </c>
      <c r="C29" s="43" t="str">
        <f>VLOOKUP(B29,'country codes'!$A$3:$B$287,2,0)</f>
        <v>ARM</v>
      </c>
      <c r="D29" s="91" t="str">
        <f t="shared" si="1"/>
        <v>2020ARM</v>
      </c>
      <c r="E29" s="43">
        <v>7</v>
      </c>
      <c r="F29" s="59">
        <f>VLOOKUP($D29,'All data'!$E$2:$M$2281,2,0)</f>
        <v>2963.2339999999999</v>
      </c>
      <c r="G29" s="59">
        <f>VLOOKUP($D29,'All data'!$E$2:$M$2281,4,0)</f>
        <v>73.9884110091743</v>
      </c>
      <c r="H29" s="60" t="str">
        <f>VLOOKUP($D29,'All data'!$E$2:$M$2281,5,0)</f>
        <v/>
      </c>
      <c r="I29" s="60" t="str">
        <f>VLOOKUP($D29,'All data'!$E$2:$M$2281,6,0)</f>
        <v/>
      </c>
      <c r="J29" s="92" t="str">
        <f>VLOOKUP($D29,'All data'!$E$2:$M$2281,7,0)</f>
        <v/>
      </c>
      <c r="K29" s="43">
        <f>VLOOKUP($C$5,'All data'!$G$2285:$J$2299,4,0)</f>
        <v>1.55</v>
      </c>
      <c r="L29" s="93" t="str">
        <f>VLOOKUP($D29,'All data'!$E$2:$M$2281,9,0)</f>
        <v>..</v>
      </c>
    </row>
    <row r="30" spans="1:12">
      <c r="A30" s="90">
        <f t="shared" si="0"/>
        <v>27</v>
      </c>
      <c r="B30" s="43" t="s">
        <v>26</v>
      </c>
      <c r="C30" s="43" t="str">
        <f>VLOOKUP(B30,'country codes'!$A$3:$B$287,2,0)</f>
        <v>BRA</v>
      </c>
      <c r="D30" s="91" t="str">
        <f t="shared" si="1"/>
        <v>2020BRA</v>
      </c>
      <c r="E30" s="43">
        <v>1</v>
      </c>
      <c r="F30" s="59">
        <f>VLOOKUP($D30,'All data'!$E$2:$M$2281,2,0)</f>
        <v>212559.40900000001</v>
      </c>
      <c r="G30" s="59">
        <f>VLOOKUP($D30,'All data'!$E$2:$M$2281,4,0)</f>
        <v>74.016888073394512</v>
      </c>
      <c r="H30" s="60">
        <f>VLOOKUP($D30,'All data'!$E$2:$M$2281,5,0)</f>
        <v>6.109717845916748</v>
      </c>
      <c r="I30" s="60">
        <f>VLOOKUP($D30,'All data'!$E$2:$M$2281,6,0)</f>
        <v>2.5912181397582938</v>
      </c>
      <c r="J30" s="92">
        <f>VLOOKUP($D30,'All data'!$E$2:$M$2281,7,0)</f>
        <v>51.334795435261512</v>
      </c>
      <c r="K30" s="43">
        <f>VLOOKUP($C$5,'All data'!$G$2285:$J$2299,4,0)</f>
        <v>1.55</v>
      </c>
      <c r="L30" s="93" t="str">
        <f>VLOOKUP($D30,'All data'!$E$2:$M$2281,9,0)</f>
        <v>..</v>
      </c>
    </row>
    <row r="31" spans="1:12">
      <c r="A31" s="90">
        <f t="shared" si="0"/>
        <v>8</v>
      </c>
      <c r="B31" s="43" t="s">
        <v>14</v>
      </c>
      <c r="C31" s="43" t="str">
        <f>VLOOKUP(B31,'country codes'!$A$3:$B$287,2,0)</f>
        <v>BGD</v>
      </c>
      <c r="D31" s="91" t="str">
        <f t="shared" si="1"/>
        <v>2020BGD</v>
      </c>
      <c r="E31" s="43">
        <v>6</v>
      </c>
      <c r="F31" s="59">
        <f>VLOOKUP($D31,'All data'!$E$2:$M$2281,2,0)</f>
        <v>164689.383</v>
      </c>
      <c r="G31" s="59">
        <f>VLOOKUP($D31,'All data'!$E$2:$M$2281,4,0)</f>
        <v>72.8</v>
      </c>
      <c r="H31" s="60">
        <f>VLOOKUP($D31,'All data'!$E$2:$M$2281,5,0)</f>
        <v>5.2799868583679199</v>
      </c>
      <c r="I31" s="60">
        <f>VLOOKUP($D31,'All data'!$E$2:$M$2281,6,0)</f>
        <v>0.85476177420240385</v>
      </c>
      <c r="J31" s="92">
        <f>VLOOKUP($D31,'All data'!$E$2:$M$2281,7,0)</f>
        <v>56.012658694412856</v>
      </c>
      <c r="K31" s="43">
        <f>VLOOKUP($C$5,'All data'!$G$2285:$J$2299,4,0)</f>
        <v>1.55</v>
      </c>
      <c r="L31" s="93" t="str">
        <f>VLOOKUP($D31,'All data'!$E$2:$M$2281,9,0)</f>
        <v>..</v>
      </c>
    </row>
    <row r="32" spans="1:12">
      <c r="A32" s="90">
        <f t="shared" si="0"/>
        <v>22</v>
      </c>
      <c r="B32" s="43" t="s">
        <v>27</v>
      </c>
      <c r="C32" s="43" t="str">
        <f>VLOOKUP(B32,'country codes'!$A$3:$B$287,2,0)</f>
        <v>MEX</v>
      </c>
      <c r="D32" s="91" t="str">
        <f t="shared" si="1"/>
        <v>2020MEX</v>
      </c>
      <c r="E32" s="43">
        <v>1</v>
      </c>
      <c r="F32" s="59">
        <f>VLOOKUP($D32,'All data'!$E$2:$M$2281,2,0)</f>
        <v>128932.753</v>
      </c>
      <c r="G32" s="59">
        <f>VLOOKUP($D32,'All data'!$E$2:$M$2281,4,0)</f>
        <v>72.646855045871561</v>
      </c>
      <c r="H32" s="60">
        <f>VLOOKUP($D32,'All data'!$E$2:$M$2281,5,0)</f>
        <v>5.9642210006713867</v>
      </c>
      <c r="I32" s="60">
        <f>VLOOKUP($D32,'All data'!$E$2:$M$2281,6,0)</f>
        <v>2.1264017125140442</v>
      </c>
      <c r="J32" s="92">
        <f>VLOOKUP($D32,'All data'!$E$2:$M$2281,7,0)</f>
        <v>52.051684732058618</v>
      </c>
      <c r="K32" s="43">
        <f>VLOOKUP($C$5,'All data'!$G$2285:$J$2299,4,0)</f>
        <v>1.55</v>
      </c>
      <c r="L32" s="93" t="str">
        <f>VLOOKUP($D32,'All data'!$E$2:$M$2281,9,0)</f>
        <v>..</v>
      </c>
    </row>
    <row r="33" spans="1:12">
      <c r="A33" s="90" t="str">
        <f t="shared" si="0"/>
        <v/>
      </c>
      <c r="B33" s="43" t="s">
        <v>24</v>
      </c>
      <c r="C33" s="43" t="str">
        <f>VLOOKUP(B33,'country codes'!$A$3:$B$287,2,0)</f>
        <v>UZB</v>
      </c>
      <c r="D33" s="91" t="str">
        <f t="shared" si="1"/>
        <v>2020UZB</v>
      </c>
      <c r="E33" s="43">
        <v>7</v>
      </c>
      <c r="F33" s="59">
        <f>VLOOKUP($D33,'All data'!$E$2:$M$2281,2,0)</f>
        <v>33469.199000000001</v>
      </c>
      <c r="G33" s="59">
        <f>VLOOKUP($D33,'All data'!$E$2:$M$2281,4,0)</f>
        <v>71.74856513761469</v>
      </c>
      <c r="H33" s="60" t="str">
        <f>VLOOKUP($D33,'All data'!$E$2:$M$2281,5,0)</f>
        <v/>
      </c>
      <c r="I33" s="60">
        <f>VLOOKUP($D33,'All data'!$E$2:$M$2281,6,0)</f>
        <v>1.8344779782177882</v>
      </c>
      <c r="J33" s="92" t="str">
        <f>VLOOKUP($D33,'All data'!$E$2:$M$2281,7,0)</f>
        <v/>
      </c>
      <c r="K33" s="43">
        <f>VLOOKUP($C$5,'All data'!$G$2285:$J$2299,4,0)</f>
        <v>1.55</v>
      </c>
      <c r="L33" s="93" t="str">
        <f>VLOOKUP($D33,'All data'!$E$2:$M$2281,9,0)</f>
        <v>..</v>
      </c>
    </row>
    <row r="34" spans="1:12">
      <c r="A34" s="90">
        <f t="shared" si="0"/>
        <v>3</v>
      </c>
      <c r="B34" s="43" t="s">
        <v>22</v>
      </c>
      <c r="C34" s="43" t="str">
        <f>VLOOKUP(B34,'country codes'!$A$3:$B$287,2,0)</f>
        <v>KGZ</v>
      </c>
      <c r="D34" s="91" t="str">
        <f t="shared" si="1"/>
        <v>2020KGZ</v>
      </c>
      <c r="E34" s="43">
        <v>7</v>
      </c>
      <c r="F34" s="59">
        <f>VLOOKUP($D34,'All data'!$E$2:$M$2281,2,0)</f>
        <v>6524.1909999999998</v>
      </c>
      <c r="G34" s="59">
        <f>VLOOKUP($D34,'All data'!$E$2:$M$2281,4,0)</f>
        <v>71.198510091743117</v>
      </c>
      <c r="H34" s="60">
        <f>VLOOKUP($D34,'All data'!$E$2:$M$2281,5,0)</f>
        <v>6.2495861053466797</v>
      </c>
      <c r="I34" s="60">
        <f>VLOOKUP($D34,'All data'!$E$2:$M$2281,6,0)</f>
        <v>1.4707641729307972</v>
      </c>
      <c r="J34" s="92">
        <f>VLOOKUP($D34,'All data'!$E$2:$M$2281,7,0)</f>
        <v>57.129533030345719</v>
      </c>
      <c r="K34" s="43">
        <f>VLOOKUP($C$5,'All data'!$G$2285:$J$2299,4,0)</f>
        <v>1.55</v>
      </c>
      <c r="L34" s="93" t="str">
        <f>VLOOKUP($D34,'All data'!$E$2:$M$2281,9,0)</f>
        <v>..</v>
      </c>
    </row>
    <row r="35" spans="1:12">
      <c r="A35" s="90">
        <f t="shared" si="0"/>
        <v>17</v>
      </c>
      <c r="B35" s="43" t="s">
        <v>31</v>
      </c>
      <c r="C35" s="43" t="str">
        <f>VLOOKUP(B35,'country codes'!$A$3:$B$287,2,0)</f>
        <v>SRB</v>
      </c>
      <c r="D35" s="91" t="str">
        <f t="shared" si="1"/>
        <v>2020SRB</v>
      </c>
      <c r="E35" s="43">
        <v>7</v>
      </c>
      <c r="F35" s="59">
        <f>VLOOKUP($D35,'All data'!$E$2:$M$2281,2,0)</f>
        <v>8737.3700000000008</v>
      </c>
      <c r="G35" s="59">
        <f>VLOOKUP($D35,'All data'!$E$2:$M$2281,4,0)</f>
        <v>75.672792660550456</v>
      </c>
      <c r="H35" s="60">
        <f>VLOOKUP($D35,'All data'!$E$2:$M$2281,5,0)</f>
        <v>6.0415463447570801</v>
      </c>
      <c r="I35" s="60">
        <f>VLOOKUP($D35,'All data'!$E$2:$M$2281,6,0)</f>
        <v>2.365609771849325</v>
      </c>
      <c r="J35" s="92">
        <f>VLOOKUP($D35,'All data'!$E$2:$M$2281,7,0)</f>
        <v>53.524268683068705</v>
      </c>
      <c r="K35" s="43">
        <f>VLOOKUP($C$5,'All data'!$G$2285:$J$2299,4,0)</f>
        <v>1.55</v>
      </c>
      <c r="L35" s="93" t="str">
        <f>VLOOKUP($D35,'All data'!$E$2:$M$2281,9,0)</f>
        <v>..</v>
      </c>
    </row>
    <row r="36" spans="1:12">
      <c r="A36" s="90" t="str">
        <f t="shared" si="0"/>
        <v/>
      </c>
      <c r="B36" s="43" t="s">
        <v>23</v>
      </c>
      <c r="C36" s="43" t="str">
        <f>VLOOKUP(B36,'country codes'!$A$3:$B$287,2,0)</f>
        <v>NPL</v>
      </c>
      <c r="D36" s="91" t="str">
        <f t="shared" si="1"/>
        <v>2020NPL</v>
      </c>
      <c r="E36" s="43">
        <v>6</v>
      </c>
      <c r="F36" s="59">
        <f>VLOOKUP($D36,'All data'!$E$2:$M$2281,2,0)</f>
        <v>29136.808000000001</v>
      </c>
      <c r="G36" s="59">
        <f>VLOOKUP($D36,'All data'!$E$2:$M$2281,4,0)</f>
        <v>70.945695412844032</v>
      </c>
      <c r="H36" s="60" t="str">
        <f>VLOOKUP($D36,'All data'!$E$2:$M$2281,5,0)</f>
        <v/>
      </c>
      <c r="I36" s="60" t="str">
        <f>VLOOKUP($D36,'All data'!$E$2:$M$2281,6,0)</f>
        <v/>
      </c>
      <c r="J36" s="92" t="str">
        <f>VLOOKUP($D36,'All data'!$E$2:$M$2281,7,0)</f>
        <v/>
      </c>
      <c r="K36" s="43">
        <f>VLOOKUP($C$5,'All data'!$G$2285:$J$2299,4,0)</f>
        <v>1.55</v>
      </c>
      <c r="L36" s="93" t="str">
        <f>VLOOKUP($D36,'All data'!$E$2:$M$2281,9,0)</f>
        <v>..</v>
      </c>
    </row>
    <row r="37" spans="1:12">
      <c r="A37" s="90">
        <f t="shared" si="0"/>
        <v>18</v>
      </c>
      <c r="B37" s="43" t="s">
        <v>32</v>
      </c>
      <c r="C37" s="43" t="str">
        <f>VLOOKUP(B37,'country codes'!$A$3:$B$287,2,0)</f>
        <v>THA</v>
      </c>
      <c r="D37" s="91" t="str">
        <f t="shared" si="1"/>
        <v>2020THA</v>
      </c>
      <c r="E37" s="43">
        <v>8</v>
      </c>
      <c r="F37" s="59">
        <f>VLOOKUP($D37,'All data'!$E$2:$M$2281,2,0)</f>
        <v>69799.978000000003</v>
      </c>
      <c r="G37" s="59">
        <f>VLOOKUP($D37,'All data'!$E$2:$M$2281,4,0)</f>
        <v>77.5</v>
      </c>
      <c r="H37" s="60">
        <f>VLOOKUP($D37,'All data'!$E$2:$M$2281,5,0)</f>
        <v>5.8845443725585938</v>
      </c>
      <c r="I37" s="60">
        <f>VLOOKUP($D37,'All data'!$E$2:$M$2281,6,0)</f>
        <v>2.5165152715287098</v>
      </c>
      <c r="J37" s="92">
        <f>VLOOKUP($D37,'All data'!$E$2:$M$2281,7,0)</f>
        <v>52.982619220922018</v>
      </c>
      <c r="K37" s="43">
        <f>VLOOKUP($C$5,'All data'!$G$2285:$J$2299,4,0)</f>
        <v>1.55</v>
      </c>
      <c r="L37" s="93" t="str">
        <f>VLOOKUP($D37,'All data'!$E$2:$M$2281,9,0)</f>
        <v>..</v>
      </c>
    </row>
    <row r="38" spans="1:12">
      <c r="A38" s="90">
        <f t="shared" si="0"/>
        <v>6</v>
      </c>
      <c r="B38" s="43" t="s">
        <v>40</v>
      </c>
      <c r="C38" s="43" t="str">
        <f>VLOOKUP(B38,'country codes'!$A$3:$B$287,2,0)</f>
        <v>DEU</v>
      </c>
      <c r="D38" s="91" t="str">
        <f t="shared" si="1"/>
        <v>2020DEU</v>
      </c>
      <c r="E38" s="43">
        <v>3</v>
      </c>
      <c r="F38" s="59">
        <f>VLOOKUP($D38,'All data'!$E$2:$M$2281,2,0)</f>
        <v>83783.945000000007</v>
      </c>
      <c r="G38" s="59">
        <f>VLOOKUP($D38,'All data'!$E$2:$M$2281,4,0)</f>
        <v>81.099999999999994</v>
      </c>
      <c r="H38" s="60">
        <f>VLOOKUP($D38,'All data'!$E$2:$M$2281,5,0)</f>
        <v>7.3118977546691895</v>
      </c>
      <c r="I38" s="60">
        <f>VLOOKUP($D38,'All data'!$E$2:$M$2281,6,0)</f>
        <v>3.9323080596553073</v>
      </c>
      <c r="J38" s="92">
        <f>VLOOKUP($D38,'All data'!$E$2:$M$2281,7,0)</f>
        <v>56.775692047071175</v>
      </c>
      <c r="K38" s="43">
        <f>VLOOKUP($C$5,'All data'!$G$2285:$J$2299,4,0)</f>
        <v>1.55</v>
      </c>
      <c r="L38" s="93" t="str">
        <f>VLOOKUP($D38,'All data'!$E$2:$M$2281,9,0)</f>
        <v>..</v>
      </c>
    </row>
    <row r="39" spans="1:12">
      <c r="A39" s="90">
        <f t="shared" si="0"/>
        <v>11</v>
      </c>
      <c r="B39" s="43" t="s">
        <v>42</v>
      </c>
      <c r="C39" s="43" t="str">
        <f>VLOOKUP(B39,'country codes'!$A$3:$B$287,2,0)</f>
        <v>ESP</v>
      </c>
      <c r="D39" s="91" t="str">
        <f t="shared" si="1"/>
        <v>2020ESP</v>
      </c>
      <c r="E39" s="43">
        <v>3</v>
      </c>
      <c r="F39" s="59">
        <f>VLOOKUP($D39,'All data'!$E$2:$M$2281,2,0)</f>
        <v>46754.783000000003</v>
      </c>
      <c r="G39" s="59">
        <f>VLOOKUP($D39,'All data'!$E$2:$M$2281,4,0)</f>
        <v>82</v>
      </c>
      <c r="H39" s="60">
        <f>VLOOKUP($D39,'All data'!$E$2:$M$2281,5,0)</f>
        <v>6.5021753311157227</v>
      </c>
      <c r="I39" s="60">
        <f>VLOOKUP($D39,'All data'!$E$2:$M$2281,6,0)</f>
        <v>3.4851874678536854</v>
      </c>
      <c r="J39" s="92">
        <f>VLOOKUP($D39,'All data'!$E$2:$M$2281,7,0)</f>
        <v>54.862179308415641</v>
      </c>
      <c r="K39" s="43">
        <f>VLOOKUP($C$5,'All data'!$G$2285:$J$2299,4,0)</f>
        <v>1.55</v>
      </c>
      <c r="L39" s="93" t="str">
        <f>VLOOKUP($D39,'All data'!$E$2:$M$2281,9,0)</f>
        <v>..</v>
      </c>
    </row>
    <row r="40" spans="1:12">
      <c r="A40" s="90">
        <f t="shared" si="0"/>
        <v>14</v>
      </c>
      <c r="B40" s="43" t="s">
        <v>44</v>
      </c>
      <c r="C40" s="43" t="str">
        <f>VLOOKUP(B40,'country codes'!$A$3:$B$287,2,0)</f>
        <v>FRA</v>
      </c>
      <c r="D40" s="91" t="str">
        <f t="shared" si="1"/>
        <v>2020FRA</v>
      </c>
      <c r="E40" s="43">
        <v>3</v>
      </c>
      <c r="F40" s="59">
        <f>VLOOKUP($D40,'All data'!$E$2:$M$2281,2,0)</f>
        <v>65273.512000000002</v>
      </c>
      <c r="G40" s="59">
        <f>VLOOKUP($D40,'All data'!$E$2:$M$2281,4,0)</f>
        <v>82</v>
      </c>
      <c r="H40" s="60">
        <f>VLOOKUP($D40,'All data'!$E$2:$M$2281,5,0)</f>
        <v>6.7141118049621582</v>
      </c>
      <c r="I40" s="60">
        <f>VLOOKUP($D40,'All data'!$E$2:$M$2281,6,0)</f>
        <v>3.8178077796638932</v>
      </c>
      <c r="J40" s="92">
        <f>VLOOKUP($D40,'All data'!$E$2:$M$2281,7,0)</f>
        <v>54.392346200023141</v>
      </c>
      <c r="K40" s="43">
        <f>VLOOKUP($C$5,'All data'!$G$2285:$J$2299,4,0)</f>
        <v>1.55</v>
      </c>
      <c r="L40" s="93" t="str">
        <f>VLOOKUP($D40,'All data'!$E$2:$M$2281,9,0)</f>
        <v>..</v>
      </c>
    </row>
    <row r="41" spans="1:12">
      <c r="A41" s="90">
        <f t="shared" si="0"/>
        <v>24</v>
      </c>
      <c r="B41" s="43" t="s">
        <v>38</v>
      </c>
      <c r="C41" s="43" t="str">
        <f>VLOOKUP(B41,'country codes'!$A$3:$B$287,2,0)</f>
        <v>MUS</v>
      </c>
      <c r="D41" s="91" t="str">
        <f t="shared" si="1"/>
        <v>2020MUS</v>
      </c>
      <c r="E41" s="43">
        <v>5</v>
      </c>
      <c r="F41" s="59">
        <f>VLOOKUP($D41,'All data'!$E$2:$M$2281,2,0)</f>
        <v>1271.7670000000001</v>
      </c>
      <c r="G41" s="59">
        <f>VLOOKUP($D41,'All data'!$E$2:$M$2281,4,0)</f>
        <v>75.087141284403657</v>
      </c>
      <c r="H41" s="60">
        <f>VLOOKUP($D41,'All data'!$E$2:$M$2281,5,0)</f>
        <v>6.0153002738952637</v>
      </c>
      <c r="I41" s="60">
        <f>VLOOKUP($D41,'All data'!$E$2:$M$2281,6,0)</f>
        <v>2.553351383514979</v>
      </c>
      <c r="J41" s="92">
        <f>VLOOKUP($D41,'All data'!$E$2:$M$2281,7,0)</f>
        <v>51.775076316283943</v>
      </c>
      <c r="K41" s="43">
        <f>VLOOKUP($C$5,'All data'!$G$2285:$J$2299,4,0)</f>
        <v>1.55</v>
      </c>
      <c r="L41" s="93" t="str">
        <f>VLOOKUP($D41,'All data'!$E$2:$M$2281,9,0)</f>
        <v>..</v>
      </c>
    </row>
    <row r="42" spans="1:12">
      <c r="A42" s="90">
        <f t="shared" ref="A42:A73" si="2">IFERROR(RANK(J42,$J$10:$J$161),"")</f>
        <v>12</v>
      </c>
      <c r="B42" s="43" t="s">
        <v>57</v>
      </c>
      <c r="C42" s="43" t="str">
        <f>VLOOKUP(B42,'country codes'!$A$3:$B$287,2,0)</f>
        <v>FIN</v>
      </c>
      <c r="D42" s="91" t="str">
        <f t="shared" ref="D42:D73" si="3">$C$5&amp;C42</f>
        <v>2020FIN</v>
      </c>
      <c r="E42" s="43">
        <v>3</v>
      </c>
      <c r="F42" s="59">
        <f>VLOOKUP($D42,'All data'!$E$2:$M$2281,2,0)</f>
        <v>5540.7179999999998</v>
      </c>
      <c r="G42" s="59">
        <f>VLOOKUP($D42,'All data'!$E$2:$M$2281,4,0)</f>
        <v>82.000000000000014</v>
      </c>
      <c r="H42" s="60">
        <f>VLOOKUP($D42,'All data'!$E$2:$M$2281,5,0)</f>
        <v>7.8893499374389648</v>
      </c>
      <c r="I42" s="60">
        <f>VLOOKUP($D42,'All data'!$E$2:$M$2281,6,0)</f>
        <v>5.1529879378627088</v>
      </c>
      <c r="J42" s="92">
        <f>VLOOKUP($D42,'All data'!$E$2:$M$2281,7,0)</f>
        <v>54.564169826282139</v>
      </c>
      <c r="K42" s="43">
        <f>VLOOKUP($C$5,'All data'!$G$2285:$J$2299,4,0)</f>
        <v>1.55</v>
      </c>
      <c r="L42" s="93" t="str">
        <f>VLOOKUP($D42,'All data'!$E$2:$M$2281,9,0)</f>
        <v>..</v>
      </c>
    </row>
    <row r="43" spans="1:12">
      <c r="A43" s="90" t="str">
        <f t="shared" si="2"/>
        <v/>
      </c>
      <c r="B43" s="43" t="s">
        <v>28</v>
      </c>
      <c r="C43" s="43" t="str">
        <f>VLOOKUP(B43,'country codes'!$A$3:$B$287,2,0)</f>
        <v>SEN</v>
      </c>
      <c r="D43" s="91" t="str">
        <f t="shared" si="3"/>
        <v>2020SEN</v>
      </c>
      <c r="E43" s="43">
        <v>5</v>
      </c>
      <c r="F43" s="59">
        <f>VLOOKUP($D43,'All data'!$E$2:$M$2281,2,0)</f>
        <v>16743.93</v>
      </c>
      <c r="G43" s="59">
        <f>VLOOKUP($D43,'All data'!$E$2:$M$2281,4,0)</f>
        <v>68.00998899082569</v>
      </c>
      <c r="H43" s="60" t="str">
        <f>VLOOKUP($D43,'All data'!$E$2:$M$2281,5,0)</f>
        <v/>
      </c>
      <c r="I43" s="60" t="str">
        <f>VLOOKUP($D43,'All data'!$E$2:$M$2281,6,0)</f>
        <v/>
      </c>
      <c r="J43" s="92" t="str">
        <f>VLOOKUP($D43,'All data'!$E$2:$M$2281,7,0)</f>
        <v/>
      </c>
      <c r="K43" s="43">
        <f>VLOOKUP($C$5,'All data'!$G$2285:$J$2299,4,0)</f>
        <v>1.55</v>
      </c>
      <c r="L43" s="93" t="str">
        <f>VLOOKUP($D43,'All data'!$E$2:$M$2281,9,0)</f>
        <v>..</v>
      </c>
    </row>
    <row r="44" spans="1:12">
      <c r="A44" s="90">
        <f t="shared" si="2"/>
        <v>21</v>
      </c>
      <c r="B44" s="43" t="s">
        <v>54</v>
      </c>
      <c r="C44" s="43" t="str">
        <f>VLOOKUP(B44,'country codes'!$A$3:$B$287,2,0)</f>
        <v>IRL</v>
      </c>
      <c r="D44" s="91" t="str">
        <f t="shared" si="3"/>
        <v>2020IRL</v>
      </c>
      <c r="E44" s="43">
        <v>3</v>
      </c>
      <c r="F44" s="59">
        <f>VLOOKUP($D44,'All data'!$E$2:$M$2281,2,0)</f>
        <v>4937.7960000000003</v>
      </c>
      <c r="G44" s="59">
        <f>VLOOKUP($D44,'All data'!$E$2:$M$2281,4,0)</f>
        <v>81.587031192660547</v>
      </c>
      <c r="H44" s="60">
        <f>VLOOKUP($D44,'All data'!$E$2:$M$2281,5,0)</f>
        <v>7.0349307060241699</v>
      </c>
      <c r="I44" s="60">
        <f>VLOOKUP($D44,'All data'!$E$2:$M$2281,6,0)</f>
        <v>4.5868173542316573</v>
      </c>
      <c r="J44" s="92">
        <f>VLOOKUP($D44,'All data'!$E$2:$M$2281,7,0)</f>
        <v>52.146436618016835</v>
      </c>
      <c r="K44" s="43">
        <f>VLOOKUP($C$5,'All data'!$G$2285:$J$2299,4,0)</f>
        <v>1.55</v>
      </c>
      <c r="L44" s="93" t="str">
        <f>VLOOKUP($D44,'All data'!$E$2:$M$2281,9,0)</f>
        <v>..</v>
      </c>
    </row>
    <row r="45" spans="1:12">
      <c r="A45" s="90">
        <f t="shared" si="2"/>
        <v>15</v>
      </c>
      <c r="B45" s="43" t="s">
        <v>35</v>
      </c>
      <c r="C45" s="43" t="str">
        <f>VLOOKUP(B45,'country codes'!$A$3:$B$287,2,0)</f>
        <v>ALB</v>
      </c>
      <c r="D45" s="91" t="str">
        <f t="shared" si="3"/>
        <v>2020ALB</v>
      </c>
      <c r="E45" s="43">
        <v>7</v>
      </c>
      <c r="F45" s="59">
        <f>VLOOKUP($D45,'All data'!$E$2:$M$2281,2,0)</f>
        <v>2877.8</v>
      </c>
      <c r="G45" s="59">
        <f>VLOOKUP($D45,'All data'!$E$2:$M$2281,4,0)</f>
        <v>78.082781651376138</v>
      </c>
      <c r="H45" s="60">
        <f>VLOOKUP($D45,'All data'!$E$2:$M$2281,5,0)</f>
        <v>5.3649096488952637</v>
      </c>
      <c r="I45" s="60">
        <f>VLOOKUP($D45,'All data'!$E$2:$M$2281,6,0)</f>
        <v>1.7897609476740794</v>
      </c>
      <c r="J45" s="92">
        <f>VLOOKUP($D45,'All data'!$E$2:$M$2281,7,0)</f>
        <v>54.336054341953123</v>
      </c>
      <c r="K45" s="43">
        <f>VLOOKUP($C$5,'All data'!$G$2285:$J$2299,4,0)</f>
        <v>1.55</v>
      </c>
      <c r="L45" s="93" t="str">
        <f>VLOOKUP($D45,'All data'!$E$2:$M$2281,9,0)</f>
        <v>..</v>
      </c>
    </row>
    <row r="46" spans="1:12">
      <c r="A46" s="90">
        <f t="shared" si="2"/>
        <v>25</v>
      </c>
      <c r="B46" s="43" t="s">
        <v>36</v>
      </c>
      <c r="C46" s="43" t="str">
        <f>VLOOKUP(B46,'country codes'!$A$3:$B$287,2,0)</f>
        <v>MDA</v>
      </c>
      <c r="D46" s="91" t="str">
        <f t="shared" si="3"/>
        <v>2020MDA</v>
      </c>
      <c r="E46" s="43">
        <v>7</v>
      </c>
      <c r="F46" s="59">
        <f>VLOOKUP($D46,'All data'!$E$2:$M$2281,2,0)</f>
        <v>4033.9630000000002</v>
      </c>
      <c r="G46" s="59">
        <f>VLOOKUP($D46,'All data'!$E$2:$M$2281,4,0)</f>
        <v>71.164183486238542</v>
      </c>
      <c r="H46" s="60">
        <f>VLOOKUP($D46,'All data'!$E$2:$M$2281,5,0)</f>
        <v>5.8116288185119629</v>
      </c>
      <c r="I46" s="60">
        <f>VLOOKUP($D46,'All data'!$E$2:$M$2281,6,0)</f>
        <v>1.8603574201535598</v>
      </c>
      <c r="J46" s="92">
        <f>VLOOKUP($D46,'All data'!$E$2:$M$2281,7,0)</f>
        <v>51.475099009466653</v>
      </c>
      <c r="K46" s="43">
        <f>VLOOKUP($C$5,'All data'!$G$2285:$J$2299,4,0)</f>
        <v>1.55</v>
      </c>
      <c r="L46" s="93" t="str">
        <f>VLOOKUP($D46,'All data'!$E$2:$M$2281,9,0)</f>
        <v>..</v>
      </c>
    </row>
    <row r="47" spans="1:12">
      <c r="A47" s="90">
        <f t="shared" si="2"/>
        <v>28</v>
      </c>
      <c r="B47" s="43" t="s">
        <v>59</v>
      </c>
      <c r="C47" s="43" t="str">
        <f>VLOOKUP(B47,'country codes'!$A$3:$B$287,2,0)</f>
        <v>NOR</v>
      </c>
      <c r="D47" s="91" t="str">
        <f t="shared" si="3"/>
        <v>2020NOR</v>
      </c>
      <c r="E47" s="43">
        <v>3</v>
      </c>
      <c r="F47" s="59">
        <f>VLOOKUP($D47,'All data'!$E$2:$M$2281,2,0)</f>
        <v>5421.2420000000002</v>
      </c>
      <c r="G47" s="59">
        <f>VLOOKUP($D47,'All data'!$E$2:$M$2281,4,0)</f>
        <v>82.7</v>
      </c>
      <c r="H47" s="60">
        <f>VLOOKUP($D47,'All data'!$E$2:$M$2281,5,0)</f>
        <v>7.2900323867797852</v>
      </c>
      <c r="I47" s="60">
        <f>VLOOKUP($D47,'All data'!$E$2:$M$2281,6,0)</f>
        <v>5.2615750693098962</v>
      </c>
      <c r="J47" s="92">
        <f>VLOOKUP($D47,'All data'!$E$2:$M$2281,7,0)</f>
        <v>51.264085880086725</v>
      </c>
      <c r="K47" s="43">
        <f>VLOOKUP($C$5,'All data'!$G$2285:$J$2299,4,0)</f>
        <v>1.55</v>
      </c>
      <c r="L47" s="93" t="str">
        <f>VLOOKUP($D47,'All data'!$E$2:$M$2281,9,0)</f>
        <v>..</v>
      </c>
    </row>
    <row r="48" spans="1:12">
      <c r="A48" s="90">
        <f t="shared" si="2"/>
        <v>35</v>
      </c>
      <c r="B48" s="43" t="s">
        <v>33</v>
      </c>
      <c r="C48" s="43" t="str">
        <f>VLOOKUP(B48,'country codes'!$A$3:$B$287,2,0)</f>
        <v>MAR</v>
      </c>
      <c r="D48" s="91" t="str">
        <f t="shared" si="3"/>
        <v>2020MAR</v>
      </c>
      <c r="E48" s="43">
        <v>4</v>
      </c>
      <c r="F48" s="59">
        <f>VLOOKUP($D48,'All data'!$E$2:$M$2281,2,0)</f>
        <v>36910.557999999997</v>
      </c>
      <c r="G48" s="59">
        <f>VLOOKUP($D48,'All data'!$E$2:$M$2281,4,0)</f>
        <v>76.42422752293578</v>
      </c>
      <c r="H48" s="60">
        <f>VLOOKUP($D48,'All data'!$E$2:$M$2281,5,0)</f>
        <v>4.8026175498962402</v>
      </c>
      <c r="I48" s="60">
        <f>VLOOKUP($D48,'All data'!$E$2:$M$2281,6,0)</f>
        <v>1.7328824892561174</v>
      </c>
      <c r="J48" s="92">
        <f>VLOOKUP($D48,'All data'!$E$2:$M$2281,7,0)</f>
        <v>49.309138636307289</v>
      </c>
      <c r="K48" s="43">
        <f>VLOOKUP($C$5,'All data'!$G$2285:$J$2299,4,0)</f>
        <v>1.55</v>
      </c>
      <c r="L48" s="93" t="str">
        <f>VLOOKUP($D48,'All data'!$E$2:$M$2281,9,0)</f>
        <v>..</v>
      </c>
    </row>
    <row r="49" spans="1:12">
      <c r="A49" s="90">
        <f t="shared" si="2"/>
        <v>20</v>
      </c>
      <c r="B49" s="43" t="s">
        <v>52</v>
      </c>
      <c r="C49" s="43" t="str">
        <f>VLOOKUP(B49,'country codes'!$A$3:$B$287,2,0)</f>
        <v>ITA</v>
      </c>
      <c r="D49" s="91" t="str">
        <f t="shared" si="3"/>
        <v>2020ITA</v>
      </c>
      <c r="E49" s="43">
        <v>3</v>
      </c>
      <c r="F49" s="59">
        <f>VLOOKUP($D49,'All data'!$E$2:$M$2281,2,0)</f>
        <v>60461.828000000001</v>
      </c>
      <c r="G49" s="59">
        <f>VLOOKUP($D49,'All data'!$E$2:$M$2281,4,0)</f>
        <v>82.300000000000011</v>
      </c>
      <c r="H49" s="60">
        <f>VLOOKUP($D49,'All data'!$E$2:$M$2281,5,0)</f>
        <v>6.4883561134338379</v>
      </c>
      <c r="I49" s="60">
        <f>VLOOKUP($D49,'All data'!$E$2:$M$2281,6,0)</f>
        <v>3.9346464324927912</v>
      </c>
      <c r="J49" s="92">
        <f>VLOOKUP($D49,'All data'!$E$2:$M$2281,7,0)</f>
        <v>52.59968140154124</v>
      </c>
      <c r="K49" s="43">
        <f>VLOOKUP($C$5,'All data'!$G$2285:$J$2299,4,0)</f>
        <v>1.55</v>
      </c>
      <c r="L49" s="93" t="str">
        <f>VLOOKUP($D49,'All data'!$E$2:$M$2281,9,0)</f>
        <v>..</v>
      </c>
    </row>
    <row r="50" spans="1:12">
      <c r="A50" s="90">
        <f t="shared" si="2"/>
        <v>30</v>
      </c>
      <c r="B50" s="43" t="s">
        <v>62</v>
      </c>
      <c r="C50" s="43" t="str">
        <f>VLOOKUP(B50,'country codes'!$A$3:$B$287,2,0)</f>
        <v>SWE</v>
      </c>
      <c r="D50" s="91" t="str">
        <f t="shared" si="3"/>
        <v>2020SWE</v>
      </c>
      <c r="E50" s="43">
        <v>3</v>
      </c>
      <c r="F50" s="59">
        <f>VLOOKUP($D50,'All data'!$E$2:$M$2281,2,0)</f>
        <v>10099.27</v>
      </c>
      <c r="G50" s="59">
        <f>VLOOKUP($D50,'All data'!$E$2:$M$2281,4,0)</f>
        <v>82</v>
      </c>
      <c r="H50" s="60">
        <f>VLOOKUP($D50,'All data'!$E$2:$M$2281,5,0)</f>
        <v>7.3143410682678223</v>
      </c>
      <c r="I50" s="60">
        <f>VLOOKUP($D50,'All data'!$E$2:$M$2281,6,0)</f>
        <v>5.3619998751984967</v>
      </c>
      <c r="J50" s="92">
        <f>VLOOKUP($D50,'All data'!$E$2:$M$2281,7,0)</f>
        <v>50.486321240979684</v>
      </c>
      <c r="K50" s="43">
        <f>VLOOKUP($C$5,'All data'!$G$2285:$J$2299,4,0)</f>
        <v>1.55</v>
      </c>
      <c r="L50" s="93" t="str">
        <f>VLOOKUP($D50,'All data'!$E$2:$M$2281,9,0)</f>
        <v>..</v>
      </c>
    </row>
    <row r="51" spans="1:12">
      <c r="A51" s="90" t="str">
        <f t="shared" si="2"/>
        <v/>
      </c>
      <c r="B51" s="43" t="s">
        <v>30</v>
      </c>
      <c r="C51" s="43" t="str">
        <f>VLOOKUP(B51,'country codes'!$A$3:$B$287,2,0)</f>
        <v>PSE</v>
      </c>
      <c r="D51" s="91" t="str">
        <f t="shared" si="3"/>
        <v>2020PSE</v>
      </c>
      <c r="E51" s="43">
        <v>4</v>
      </c>
      <c r="F51" s="59">
        <f>VLOOKUP($D51,'All data'!$E$2:$M$2281,2,0)</f>
        <v>5101.4160000000002</v>
      </c>
      <c r="G51" s="59">
        <f>VLOOKUP($D51,'All data'!$E$2:$M$2281,4,0)</f>
        <v>72.904139449541276</v>
      </c>
      <c r="H51" s="60" t="str">
        <f>VLOOKUP($D51,'All data'!$E$2:$M$2281,5,0)</f>
        <v/>
      </c>
      <c r="I51" s="60" t="str">
        <f>VLOOKUP($D51,'All data'!$E$2:$M$2281,6,0)</f>
        <v/>
      </c>
      <c r="J51" s="92" t="str">
        <f>VLOOKUP($D51,'All data'!$E$2:$M$2281,7,0)</f>
        <v/>
      </c>
      <c r="K51" s="43">
        <f>VLOOKUP($C$5,'All data'!$G$2285:$J$2299,4,0)</f>
        <v>1.55</v>
      </c>
      <c r="L51" s="93" t="str">
        <f>VLOOKUP($D51,'All data'!$E$2:$M$2281,9,0)</f>
        <v>..</v>
      </c>
    </row>
    <row r="52" spans="1:12">
      <c r="A52" s="90">
        <f t="shared" si="2"/>
        <v>41</v>
      </c>
      <c r="B52" s="43" t="s">
        <v>45</v>
      </c>
      <c r="C52" s="43" t="str">
        <f>VLOOKUP(B52,'country codes'!$A$3:$B$287,2,0)</f>
        <v>ARG</v>
      </c>
      <c r="D52" s="91" t="str">
        <f t="shared" si="3"/>
        <v>2020ARG</v>
      </c>
      <c r="E52" s="43">
        <v>1</v>
      </c>
      <c r="F52" s="59">
        <f>VLOOKUP($D52,'All data'!$E$2:$M$2281,2,0)</f>
        <v>45195.777000000002</v>
      </c>
      <c r="G52" s="59">
        <f>VLOOKUP($D52,'All data'!$E$2:$M$2281,4,0)</f>
        <v>75.202649541284416</v>
      </c>
      <c r="H52" s="60">
        <f>VLOOKUP($D52,'All data'!$E$2:$M$2281,5,0)</f>
        <v>5.9005670547485352</v>
      </c>
      <c r="I52" s="60">
        <f>VLOOKUP($D52,'All data'!$E$2:$M$2281,6,0)</f>
        <v>3.0475496646407683</v>
      </c>
      <c r="J52" s="92">
        <f>VLOOKUP($D52,'All data'!$E$2:$M$2281,7,0)</f>
        <v>48.439379307788919</v>
      </c>
      <c r="K52" s="43">
        <f>VLOOKUP($C$5,'All data'!$G$2285:$J$2299,4,0)</f>
        <v>1.55</v>
      </c>
      <c r="L52" s="93" t="str">
        <f>VLOOKUP($D52,'All data'!$E$2:$M$2281,9,0)</f>
        <v>..</v>
      </c>
    </row>
    <row r="53" spans="1:12">
      <c r="A53" s="90" t="str">
        <f t="shared" si="2"/>
        <v/>
      </c>
      <c r="B53" s="43" t="s">
        <v>37</v>
      </c>
      <c r="C53" s="43" t="str">
        <f>VLOOKUP(B53,'country codes'!$A$3:$B$287,2,0)</f>
        <v>IDN</v>
      </c>
      <c r="D53" s="91" t="str">
        <f t="shared" si="3"/>
        <v>2020IDN</v>
      </c>
      <c r="E53" s="43">
        <v>8</v>
      </c>
      <c r="F53" s="59">
        <f>VLOOKUP($D53,'All data'!$E$2:$M$2281,2,0)</f>
        <v>273523.62099999998</v>
      </c>
      <c r="G53" s="59">
        <f>VLOOKUP($D53,'All data'!$E$2:$M$2281,4,0)</f>
        <v>71.719977981651382</v>
      </c>
      <c r="H53" s="60" t="str">
        <f>VLOOKUP($D53,'All data'!$E$2:$M$2281,5,0)</f>
        <v/>
      </c>
      <c r="I53" s="60">
        <f>VLOOKUP($D53,'All data'!$E$2:$M$2281,6,0)</f>
        <v>1.5869463775577703</v>
      </c>
      <c r="J53" s="92" t="str">
        <f>VLOOKUP($D53,'All data'!$E$2:$M$2281,7,0)</f>
        <v/>
      </c>
      <c r="K53" s="43">
        <f>VLOOKUP($C$5,'All data'!$G$2285:$J$2299,4,0)</f>
        <v>1.55</v>
      </c>
      <c r="L53" s="93" t="str">
        <f>VLOOKUP($D53,'All data'!$E$2:$M$2281,9,0)</f>
        <v>..</v>
      </c>
    </row>
    <row r="54" spans="1:12">
      <c r="A54" s="90">
        <f t="shared" si="2"/>
        <v>19</v>
      </c>
      <c r="B54" s="43" t="s">
        <v>58</v>
      </c>
      <c r="C54" s="43" t="str">
        <f>VLOOKUP(B54,'country codes'!$A$3:$B$287,2,0)</f>
        <v>CYP</v>
      </c>
      <c r="D54" s="91" t="str">
        <f t="shared" si="3"/>
        <v>2020CYP</v>
      </c>
      <c r="E54" s="43">
        <v>3</v>
      </c>
      <c r="F54" s="59">
        <f>VLOOKUP($D54,'All data'!$E$2:$M$2281,2,0)</f>
        <v>1207.3610000000001</v>
      </c>
      <c r="G54" s="59">
        <f>VLOOKUP($D54,'All data'!$E$2:$M$2281,4,0)</f>
        <v>81</v>
      </c>
      <c r="H54" s="60">
        <f>VLOOKUP($D54,'All data'!$E$2:$M$2281,5,0)</f>
        <v>6.2598104476928711</v>
      </c>
      <c r="I54" s="60">
        <f>VLOOKUP($D54,'All data'!$E$2:$M$2281,6,0)</f>
        <v>3.4652578781410717</v>
      </c>
      <c r="J54" s="92">
        <f>VLOOKUP($D54,'All data'!$E$2:$M$2281,7,0)</f>
        <v>52.69009763907939</v>
      </c>
      <c r="K54" s="43">
        <f>VLOOKUP($C$5,'All data'!$G$2285:$J$2299,4,0)</f>
        <v>1.55</v>
      </c>
      <c r="L54" s="93" t="str">
        <f>VLOOKUP($D54,'All data'!$E$2:$M$2281,9,0)</f>
        <v>..</v>
      </c>
    </row>
    <row r="55" spans="1:12">
      <c r="A55" s="90">
        <f t="shared" si="2"/>
        <v>45</v>
      </c>
      <c r="B55" s="43" t="s">
        <v>39</v>
      </c>
      <c r="C55" s="43" t="str">
        <f>VLOOKUP(B55,'country codes'!$A$3:$B$287,2,0)</f>
        <v>VEN</v>
      </c>
      <c r="D55" s="91" t="str">
        <f t="shared" si="3"/>
        <v>2020VEN</v>
      </c>
      <c r="E55" s="43">
        <v>1</v>
      </c>
      <c r="F55" s="59">
        <f>VLOOKUP($D55,'All data'!$E$2:$M$2281,2,0)</f>
        <v>28435.942999999999</v>
      </c>
      <c r="G55" s="59">
        <f>VLOOKUP($D55,'All data'!$E$2:$M$2281,4,0)</f>
        <v>72.022847706422013</v>
      </c>
      <c r="H55" s="60">
        <f>VLOOKUP($D55,'All data'!$E$2:$M$2281,5,0)</f>
        <v>4.5738296508789063</v>
      </c>
      <c r="I55" s="60">
        <f>VLOOKUP($D55,'All data'!$E$2:$M$2281,6,0)</f>
        <v>1.2877471075898113</v>
      </c>
      <c r="J55" s="92">
        <f>VLOOKUP($D55,'All data'!$E$2:$M$2281,7,0)</f>
        <v>47.078589115465533</v>
      </c>
      <c r="K55" s="43">
        <f>VLOOKUP($C$5,'All data'!$G$2285:$J$2299,4,0)</f>
        <v>1.55</v>
      </c>
      <c r="L55" s="93" t="str">
        <f>VLOOKUP($D55,'All data'!$E$2:$M$2281,9,0)</f>
        <v>..</v>
      </c>
    </row>
    <row r="56" spans="1:12">
      <c r="A56" s="90">
        <f t="shared" si="2"/>
        <v>26</v>
      </c>
      <c r="B56" s="43" t="s">
        <v>64</v>
      </c>
      <c r="C56" s="43" t="str">
        <f>VLOOKUP(B56,'country codes'!$A$3:$B$287,2,0)</f>
        <v>GRC</v>
      </c>
      <c r="D56" s="91" t="str">
        <f t="shared" si="3"/>
        <v>2020GRC</v>
      </c>
      <c r="E56" s="43">
        <v>3</v>
      </c>
      <c r="F56" s="59">
        <f>VLOOKUP($D56,'All data'!$E$2:$M$2281,2,0)</f>
        <v>10423.056</v>
      </c>
      <c r="G56" s="59">
        <f>VLOOKUP($D56,'All data'!$E$2:$M$2281,4,0)</f>
        <v>81.7</v>
      </c>
      <c r="H56" s="60">
        <f>VLOOKUP($D56,'All data'!$E$2:$M$2281,5,0)</f>
        <v>5.7876157760620117</v>
      </c>
      <c r="I56" s="60">
        <f>VLOOKUP($D56,'All data'!$E$2:$M$2281,6,0)</f>
        <v>3.2149146511368585</v>
      </c>
      <c r="J56" s="92">
        <f>VLOOKUP($D56,'All data'!$E$2:$M$2281,7,0)</f>
        <v>51.471323150981313</v>
      </c>
      <c r="K56" s="43">
        <f>VLOOKUP($C$5,'All data'!$G$2285:$J$2299,4,0)</f>
        <v>1.55</v>
      </c>
      <c r="L56" s="93" t="str">
        <f>VLOOKUP($D56,'All data'!$E$2:$M$2281,9,0)</f>
        <v>..</v>
      </c>
    </row>
    <row r="57" spans="1:12">
      <c r="A57" s="90" t="str">
        <f t="shared" si="2"/>
        <v/>
      </c>
      <c r="B57" s="43" t="s">
        <v>50</v>
      </c>
      <c r="C57" s="43" t="str">
        <f>VLOOKUP(B57,'country codes'!$A$3:$B$287,2,0)</f>
        <v>VNM</v>
      </c>
      <c r="D57" s="91" t="str">
        <f t="shared" si="3"/>
        <v>2020VNM</v>
      </c>
      <c r="E57" s="43">
        <v>8</v>
      </c>
      <c r="F57" s="59">
        <f>VLOOKUP($D57,'All data'!$E$2:$M$2281,2,0)</f>
        <v>97338.582999999999</v>
      </c>
      <c r="G57" s="59" t="str">
        <f>VLOOKUP($D57,'All data'!$E$2:$M$2281,4,0)</f>
        <v/>
      </c>
      <c r="H57" s="60" t="str">
        <f>VLOOKUP($D57,'All data'!$E$2:$M$2281,5,0)</f>
        <v/>
      </c>
      <c r="I57" s="60" t="str">
        <f>VLOOKUP($D57,'All data'!$E$2:$M$2281,6,0)</f>
        <v/>
      </c>
      <c r="J57" s="92" t="str">
        <f>VLOOKUP($D57,'All data'!$E$2:$M$2281,7,0)</f>
        <v/>
      </c>
      <c r="K57" s="43">
        <f>VLOOKUP($C$5,'All data'!$G$2285:$J$2299,4,0)</f>
        <v>1.55</v>
      </c>
      <c r="L57" s="93" t="str">
        <f>VLOOKUP($D57,'All data'!$E$2:$M$2281,9,0)</f>
        <v>..</v>
      </c>
    </row>
    <row r="58" spans="1:12">
      <c r="A58" s="90">
        <f t="shared" si="2"/>
        <v>32</v>
      </c>
      <c r="B58" s="43" t="s">
        <v>74</v>
      </c>
      <c r="C58" s="43" t="str">
        <f>VLOOKUP(B58,'country codes'!$A$3:$B$287,2,0)</f>
        <v>ISR</v>
      </c>
      <c r="D58" s="91" t="str">
        <f t="shared" si="3"/>
        <v>2020ISR</v>
      </c>
      <c r="E58" s="43">
        <v>4</v>
      </c>
      <c r="F58" s="59">
        <f>VLOOKUP($D58,'All data'!$E$2:$M$2281,2,0)</f>
        <v>8655.5409999999993</v>
      </c>
      <c r="G58" s="59">
        <f>VLOOKUP($D58,'All data'!$E$2:$M$2281,4,0)</f>
        <v>82.235596330275229</v>
      </c>
      <c r="H58" s="60">
        <f>VLOOKUP($D58,'All data'!$E$2:$M$2281,5,0)</f>
        <v>7.1949281692504883</v>
      </c>
      <c r="I58" s="60">
        <f>VLOOKUP($D58,'All data'!$E$2:$M$2281,6,0)</f>
        <v>5.3416644715106276</v>
      </c>
      <c r="J58" s="92">
        <f>VLOOKUP($D58,'All data'!$E$2:$M$2281,7,0)</f>
        <v>50.084774905384407</v>
      </c>
      <c r="K58" s="43">
        <f>VLOOKUP($C$5,'All data'!$G$2285:$J$2299,4,0)</f>
        <v>1.55</v>
      </c>
      <c r="L58" s="93" t="str">
        <f>VLOOKUP($D58,'All data'!$E$2:$M$2281,9,0)</f>
        <v>..</v>
      </c>
    </row>
    <row r="59" spans="1:12">
      <c r="A59" s="90" t="str">
        <f t="shared" si="2"/>
        <v/>
      </c>
      <c r="B59" s="43" t="s">
        <v>46</v>
      </c>
      <c r="C59" s="43" t="str">
        <f>VLOOKUP(B59,'country codes'!$A$3:$B$287,2,0)</f>
        <v>AZE</v>
      </c>
      <c r="D59" s="91" t="str">
        <f t="shared" si="3"/>
        <v>2020AZE</v>
      </c>
      <c r="E59" s="43">
        <v>7</v>
      </c>
      <c r="F59" s="59">
        <f>VLOOKUP($D59,'All data'!$E$2:$M$2281,2,0)</f>
        <v>10139.174999999999</v>
      </c>
      <c r="G59" s="59">
        <f>VLOOKUP($D59,'All data'!$E$2:$M$2281,4,0)</f>
        <v>72.585651376146785</v>
      </c>
      <c r="H59" s="60" t="str">
        <f>VLOOKUP($D59,'All data'!$E$2:$M$2281,5,0)</f>
        <v/>
      </c>
      <c r="I59" s="60">
        <f>VLOOKUP($D59,'All data'!$E$2:$M$2281,6,0)</f>
        <v>1.8839149628691001</v>
      </c>
      <c r="J59" s="92" t="str">
        <f>VLOOKUP($D59,'All data'!$E$2:$M$2281,7,0)</f>
        <v/>
      </c>
      <c r="K59" s="43">
        <f>VLOOKUP($C$5,'All data'!$G$2285:$J$2299,4,0)</f>
        <v>1.55</v>
      </c>
      <c r="L59" s="93" t="str">
        <f>VLOOKUP($D59,'All data'!$E$2:$M$2281,9,0)</f>
        <v>..</v>
      </c>
    </row>
    <row r="60" spans="1:12">
      <c r="A60" s="90" t="str">
        <f t="shared" si="2"/>
        <v/>
      </c>
      <c r="B60" s="43" t="s">
        <v>41</v>
      </c>
      <c r="C60" s="43" t="str">
        <f>VLOOKUP(B60,'country codes'!$A$3:$B$287,2,0)</f>
        <v>KHM</v>
      </c>
      <c r="D60" s="91" t="str">
        <f t="shared" si="3"/>
        <v>2020KHM</v>
      </c>
      <c r="E60" s="43">
        <v>8</v>
      </c>
      <c r="F60" s="59">
        <f>VLOOKUP($D60,'All data'!$E$2:$M$2281,2,0)</f>
        <v>16718.971000000001</v>
      </c>
      <c r="G60" s="59" t="str">
        <f>VLOOKUP($D60,'All data'!$E$2:$M$2281,4,0)</f>
        <v/>
      </c>
      <c r="H60" s="60">
        <f>VLOOKUP($D60,'All data'!$E$2:$M$2281,5,0)</f>
        <v>4.3769850730895996</v>
      </c>
      <c r="I60" s="60">
        <f>VLOOKUP($D60,'All data'!$E$2:$M$2281,6,0)</f>
        <v>1.324349714850575</v>
      </c>
      <c r="J60" s="92" t="str">
        <f>VLOOKUP($D60,'All data'!$E$2:$M$2281,7,0)</f>
        <v/>
      </c>
      <c r="K60" s="43">
        <f>VLOOKUP($C$5,'All data'!$G$2285:$J$2299,4,0)</f>
        <v>1.55</v>
      </c>
      <c r="L60" s="93" t="str">
        <f>VLOOKUP($D60,'All data'!$E$2:$M$2281,9,0)</f>
        <v>..</v>
      </c>
    </row>
    <row r="61" spans="1:12">
      <c r="A61" s="90">
        <f t="shared" si="2"/>
        <v>16</v>
      </c>
      <c r="B61" s="43" t="s">
        <v>81</v>
      </c>
      <c r="C61" s="43" t="str">
        <f>VLOOKUP(B61,'country codes'!$A$3:$B$287,2,0)</f>
        <v>ISL</v>
      </c>
      <c r="D61" s="91" t="str">
        <f t="shared" si="3"/>
        <v>2020ISL</v>
      </c>
      <c r="E61" s="43">
        <v>3</v>
      </c>
      <c r="F61" s="59">
        <f>VLOOKUP($D61,'All data'!$E$2:$M$2281,2,0)</f>
        <v>341.25</v>
      </c>
      <c r="G61" s="59">
        <f>VLOOKUP($D61,'All data'!$E$2:$M$2281,4,0)</f>
        <v>82.899999999999991</v>
      </c>
      <c r="H61" s="60">
        <f>VLOOKUP($D61,'All data'!$E$2:$M$2281,5,0)</f>
        <v>7.5754895210266113</v>
      </c>
      <c r="I61" s="60">
        <f>VLOOKUP($D61,'All data'!$E$2:$M$2281,6,0)</f>
        <v>5.1031110759383065</v>
      </c>
      <c r="J61" s="92">
        <f>VLOOKUP($D61,'All data'!$E$2:$M$2281,7,0)</f>
        <v>53.703267377834884</v>
      </c>
      <c r="K61" s="43">
        <f>VLOOKUP($C$5,'All data'!$G$2285:$J$2299,4,0)</f>
        <v>1.55</v>
      </c>
      <c r="L61" s="93" t="str">
        <f>VLOOKUP($D61,'All data'!$E$2:$M$2281,9,0)</f>
        <v>..</v>
      </c>
    </row>
    <row r="62" spans="1:12">
      <c r="A62" s="90">
        <f t="shared" si="2"/>
        <v>38</v>
      </c>
      <c r="B62" s="43" t="s">
        <v>67</v>
      </c>
      <c r="C62" s="43" t="str">
        <f>VLOOKUP(B62,'country codes'!$A$3:$B$287,2,0)</f>
        <v>SVN</v>
      </c>
      <c r="D62" s="91" t="str">
        <f t="shared" si="3"/>
        <v>2020SVN</v>
      </c>
      <c r="E62" s="43">
        <v>7</v>
      </c>
      <c r="F62" s="59">
        <f>VLOOKUP($D62,'All data'!$E$2:$M$2281,2,0)</f>
        <v>2078.9319999999998</v>
      </c>
      <c r="G62" s="59">
        <f>VLOOKUP($D62,'All data'!$E$2:$M$2281,4,0)</f>
        <v>80.3</v>
      </c>
      <c r="H62" s="60">
        <f>VLOOKUP($D62,'All data'!$E$2:$M$2281,5,0)</f>
        <v>6.4620761871337891</v>
      </c>
      <c r="I62" s="60">
        <f>VLOOKUP($D62,'All data'!$E$2:$M$2281,6,0)</f>
        <v>4.4183622488947156</v>
      </c>
      <c r="J62" s="92">
        <f>VLOOKUP($D62,'All data'!$E$2:$M$2281,7,0)</f>
        <v>48.745530081152111</v>
      </c>
      <c r="K62" s="43">
        <f>VLOOKUP($C$5,'All data'!$G$2285:$J$2299,4,0)</f>
        <v>1.55</v>
      </c>
      <c r="L62" s="93" t="str">
        <f>VLOOKUP($D62,'All data'!$E$2:$M$2281,9,0)</f>
        <v>..</v>
      </c>
    </row>
    <row r="63" spans="1:12">
      <c r="A63" s="90">
        <f t="shared" si="2"/>
        <v>50</v>
      </c>
      <c r="B63" s="43" t="s">
        <v>66</v>
      </c>
      <c r="C63" s="43" t="str">
        <f>VLOOKUP(B63,'country codes'!$A$3:$B$287,2,0)</f>
        <v>BIH</v>
      </c>
      <c r="D63" s="91" t="str">
        <f t="shared" si="3"/>
        <v>2020BIH</v>
      </c>
      <c r="E63" s="43">
        <v>7</v>
      </c>
      <c r="F63" s="59">
        <f>VLOOKUP($D63,'All data'!$E$2:$M$2281,2,0)</f>
        <v>3280.8150000000001</v>
      </c>
      <c r="G63" s="59">
        <f>VLOOKUP($D63,'All data'!$E$2:$M$2281,4,0)</f>
        <v>76.046965137614691</v>
      </c>
      <c r="H63" s="60">
        <f>VLOOKUP($D63,'All data'!$E$2:$M$2281,5,0)</f>
        <v>5.5158162117004395</v>
      </c>
      <c r="I63" s="60">
        <f>VLOOKUP($D63,'All data'!$E$2:$M$2281,6,0)</f>
        <v>3.2728155371538419</v>
      </c>
      <c r="J63" s="92">
        <f>VLOOKUP($D63,'All data'!$E$2:$M$2281,7,0)</f>
        <v>45.561366807126788</v>
      </c>
      <c r="K63" s="43">
        <f>VLOOKUP($C$5,'All data'!$G$2285:$J$2299,4,0)</f>
        <v>1.55</v>
      </c>
      <c r="L63" s="93" t="str">
        <f>VLOOKUP($D63,'All data'!$E$2:$M$2281,9,0)</f>
        <v>..</v>
      </c>
    </row>
    <row r="64" spans="1:12">
      <c r="A64" s="90" t="str">
        <f t="shared" si="2"/>
        <v/>
      </c>
      <c r="B64" s="43" t="s">
        <v>61</v>
      </c>
      <c r="C64" s="43" t="str">
        <f>VLOOKUP(B64,'country codes'!$A$3:$B$287,2,0)</f>
        <v>PRY</v>
      </c>
      <c r="D64" s="91" t="str">
        <f t="shared" si="3"/>
        <v>2020PRY</v>
      </c>
      <c r="E64" s="43">
        <v>1</v>
      </c>
      <c r="F64" s="59">
        <f>VLOOKUP($D64,'All data'!$E$2:$M$2281,2,0)</f>
        <v>7132.53</v>
      </c>
      <c r="G64" s="59">
        <f>VLOOKUP($D64,'All data'!$E$2:$M$2281,4,0)</f>
        <v>73.599889908256884</v>
      </c>
      <c r="H64" s="60" t="str">
        <f>VLOOKUP($D64,'All data'!$E$2:$M$2281,5,0)</f>
        <v/>
      </c>
      <c r="I64" s="60" t="str">
        <f>VLOOKUP($D64,'All data'!$E$2:$M$2281,6,0)</f>
        <v/>
      </c>
      <c r="J64" s="92" t="str">
        <f>VLOOKUP($D64,'All data'!$E$2:$M$2281,7,0)</f>
        <v/>
      </c>
      <c r="K64" s="43">
        <f>VLOOKUP($C$5,'All data'!$G$2285:$J$2299,4,0)</f>
        <v>1.55</v>
      </c>
      <c r="L64" s="93" t="str">
        <f>VLOOKUP($D64,'All data'!$E$2:$M$2281,9,0)</f>
        <v>..</v>
      </c>
    </row>
    <row r="65" spans="1:12">
      <c r="A65" s="90" t="str">
        <f t="shared" si="2"/>
        <v/>
      </c>
      <c r="B65" s="43" t="s">
        <v>43</v>
      </c>
      <c r="C65" s="43" t="str">
        <f>VLOOKUP(B65,'country codes'!$A$3:$B$287,2,0)</f>
        <v>COG</v>
      </c>
      <c r="D65" s="91" t="str">
        <f t="shared" si="3"/>
        <v>2020COG</v>
      </c>
      <c r="E65" s="43">
        <v>5</v>
      </c>
      <c r="F65" s="59">
        <f>VLOOKUP($D65,'All data'!$E$2:$M$2281,2,0)</f>
        <v>5518.0919999999996</v>
      </c>
      <c r="G65" s="59">
        <f>VLOOKUP($D65,'All data'!$E$2:$M$2281,4,0)</f>
        <v>64.835706422018333</v>
      </c>
      <c r="H65" s="60" t="str">
        <f>VLOOKUP($D65,'All data'!$E$2:$M$2281,5,0)</f>
        <v/>
      </c>
      <c r="I65" s="60" t="str">
        <f>VLOOKUP($D65,'All data'!$E$2:$M$2281,6,0)</f>
        <v/>
      </c>
      <c r="J65" s="92" t="str">
        <f>VLOOKUP($D65,'All data'!$E$2:$M$2281,7,0)</f>
        <v/>
      </c>
      <c r="K65" s="43">
        <f>VLOOKUP($C$5,'All data'!$G$2285:$J$2299,4,0)</f>
        <v>1.55</v>
      </c>
      <c r="L65" s="93" t="str">
        <f>VLOOKUP($D65,'All data'!$E$2:$M$2281,9,0)</f>
        <v>..</v>
      </c>
    </row>
    <row r="66" spans="1:12">
      <c r="A66" s="90">
        <f t="shared" si="2"/>
        <v>31</v>
      </c>
      <c r="B66" s="43" t="s">
        <v>75</v>
      </c>
      <c r="C66" s="43" t="str">
        <f>VLOOKUP(B66,'country codes'!$A$3:$B$287,2,0)</f>
        <v>JPN</v>
      </c>
      <c r="D66" s="91" t="str">
        <f t="shared" si="3"/>
        <v>2020JPN</v>
      </c>
      <c r="E66" s="43">
        <v>8</v>
      </c>
      <c r="F66" s="59">
        <f>VLOOKUP($D66,'All data'!$E$2:$M$2281,2,0)</f>
        <v>126476.458</v>
      </c>
      <c r="G66" s="59">
        <f>VLOOKUP($D66,'All data'!$E$2:$M$2281,4,0)</f>
        <v>84.859999999999985</v>
      </c>
      <c r="H66" s="60">
        <f>VLOOKUP($D66,'All data'!$E$2:$M$2281,5,0)</f>
        <v>6.1179633140563965</v>
      </c>
      <c r="I66" s="60">
        <f>VLOOKUP($D66,'All data'!$E$2:$M$2281,6,0)</f>
        <v>4.3032738949857308</v>
      </c>
      <c r="J66" s="92">
        <f>VLOOKUP($D66,'All data'!$E$2:$M$2281,7,0)</f>
        <v>50.253482999158692</v>
      </c>
      <c r="K66" s="43">
        <f>VLOOKUP($C$5,'All data'!$G$2285:$J$2299,4,0)</f>
        <v>1.55</v>
      </c>
      <c r="L66" s="93" t="str">
        <f>VLOOKUP($D66,'All data'!$E$2:$M$2281,9,0)</f>
        <v>..</v>
      </c>
    </row>
    <row r="67" spans="1:12">
      <c r="A67" s="90">
        <f t="shared" si="2"/>
        <v>39</v>
      </c>
      <c r="B67" s="43" t="s">
        <v>83</v>
      </c>
      <c r="C67" s="43" t="str">
        <f>VLOOKUP(B67,'country codes'!$A$3:$B$287,2,0)</f>
        <v>CZE</v>
      </c>
      <c r="D67" s="91" t="str">
        <f t="shared" si="3"/>
        <v>2020CZE</v>
      </c>
      <c r="E67" s="43">
        <v>7</v>
      </c>
      <c r="F67" s="59">
        <f>VLOOKUP($D67,'All data'!$E$2:$M$2281,2,0)</f>
        <v>10708.982</v>
      </c>
      <c r="G67" s="59">
        <f>VLOOKUP($D67,'All data'!$E$2:$M$2281,4,0)</f>
        <v>78.400000000000006</v>
      </c>
      <c r="H67" s="60">
        <f>VLOOKUP($D67,'All data'!$E$2:$M$2281,5,0)</f>
        <v>6.8970913887023926</v>
      </c>
      <c r="I67" s="60">
        <f>VLOOKUP($D67,'All data'!$E$2:$M$2281,6,0)</f>
        <v>4.6988646104833673</v>
      </c>
      <c r="J67" s="92">
        <f>VLOOKUP($D67,'All data'!$E$2:$M$2281,7,0)</f>
        <v>48.649150639335282</v>
      </c>
      <c r="K67" s="43">
        <f>VLOOKUP($C$5,'All data'!$G$2285:$J$2299,4,0)</f>
        <v>1.55</v>
      </c>
      <c r="L67" s="93" t="str">
        <f>VLOOKUP($D67,'All data'!$E$2:$M$2281,9,0)</f>
        <v>..</v>
      </c>
    </row>
    <row r="68" spans="1:12">
      <c r="A68" s="90">
        <f t="shared" si="2"/>
        <v>34</v>
      </c>
      <c r="B68" s="43" t="s">
        <v>88</v>
      </c>
      <c r="C68" s="43" t="str">
        <f>VLOOKUP(B68,'country codes'!$A$3:$B$287,2,0)</f>
        <v>AUT</v>
      </c>
      <c r="D68" s="91" t="str">
        <f t="shared" si="3"/>
        <v>2020AUT</v>
      </c>
      <c r="E68" s="43">
        <v>3</v>
      </c>
      <c r="F68" s="59">
        <f>VLOOKUP($D68,'All data'!$E$2:$M$2281,2,0)</f>
        <v>9006.4</v>
      </c>
      <c r="G68" s="59">
        <f>VLOOKUP($D68,'All data'!$E$2:$M$2281,4,0)</f>
        <v>80.8</v>
      </c>
      <c r="H68" s="60">
        <f>VLOOKUP($D68,'All data'!$E$2:$M$2281,5,0)</f>
        <v>7.2134890556335449</v>
      </c>
      <c r="I68" s="60">
        <f>VLOOKUP($D68,'All data'!$E$2:$M$2281,6,0)</f>
        <v>5.2345645856138887</v>
      </c>
      <c r="J68" s="92">
        <f>VLOOKUP($D68,'All data'!$E$2:$M$2281,7,0)</f>
        <v>49.67902882066695</v>
      </c>
      <c r="K68" s="43">
        <f>VLOOKUP($C$5,'All data'!$G$2285:$J$2299,4,0)</f>
        <v>1.55</v>
      </c>
      <c r="L68" s="93" t="str">
        <f>VLOOKUP($D68,'All data'!$E$2:$M$2281,9,0)</f>
        <v>..</v>
      </c>
    </row>
    <row r="69" spans="1:12">
      <c r="A69" s="90" t="str">
        <f t="shared" si="2"/>
        <v/>
      </c>
      <c r="B69" s="43" t="s">
        <v>49</v>
      </c>
      <c r="C69" s="43" t="str">
        <f>VLOOKUP(B69,'country codes'!$A$3:$B$287,2,0)</f>
        <v>LKA</v>
      </c>
      <c r="D69" s="91" t="str">
        <f t="shared" si="3"/>
        <v>2020LKA</v>
      </c>
      <c r="E69" s="43">
        <v>6</v>
      </c>
      <c r="F69" s="59">
        <f>VLOOKUP($D69,'All data'!$E$2:$M$2281,2,0)</f>
        <v>21413.25</v>
      </c>
      <c r="G69" s="59">
        <f>VLOOKUP($D69,'All data'!$E$2:$M$2281,4,0)</f>
        <v>77.187141284403666</v>
      </c>
      <c r="H69" s="60" t="str">
        <f>VLOOKUP($D69,'All data'!$E$2:$M$2281,5,0)</f>
        <v/>
      </c>
      <c r="I69" s="60">
        <f>VLOOKUP($D69,'All data'!$E$2:$M$2281,6,0)</f>
        <v>1.3849374503931151</v>
      </c>
      <c r="J69" s="92" t="str">
        <f>VLOOKUP($D69,'All data'!$E$2:$M$2281,7,0)</f>
        <v/>
      </c>
      <c r="K69" s="43">
        <f>VLOOKUP($C$5,'All data'!$G$2285:$J$2299,4,0)</f>
        <v>1.55</v>
      </c>
      <c r="L69" s="93" t="str">
        <f>VLOOKUP($D69,'All data'!$E$2:$M$2281,9,0)</f>
        <v>..</v>
      </c>
    </row>
    <row r="70" spans="1:12">
      <c r="A70" s="90">
        <f t="shared" si="2"/>
        <v>33</v>
      </c>
      <c r="B70" s="43" t="s">
        <v>76</v>
      </c>
      <c r="C70" s="43" t="str">
        <f>VLOOKUP(B70,'country codes'!$A$3:$B$287,2,0)</f>
        <v>SVK</v>
      </c>
      <c r="D70" s="91" t="str">
        <f t="shared" si="3"/>
        <v>2020SVK</v>
      </c>
      <c r="E70" s="43">
        <v>7</v>
      </c>
      <c r="F70" s="59">
        <f>VLOOKUP($D70,'All data'!$E$2:$M$2281,2,0)</f>
        <v>5459.643</v>
      </c>
      <c r="G70" s="59">
        <f>VLOOKUP($D70,'All data'!$E$2:$M$2281,4,0)</f>
        <v>76.600000000000009</v>
      </c>
      <c r="H70" s="60">
        <f>VLOOKUP($D70,'All data'!$E$2:$M$2281,5,0)</f>
        <v>6.5190982818603516</v>
      </c>
      <c r="I70" s="60">
        <f>VLOOKUP($D70,'All data'!$E$2:$M$2281,6,0)</f>
        <v>3.7419009351234664</v>
      </c>
      <c r="J70" s="92">
        <f>VLOOKUP($D70,'All data'!$E$2:$M$2281,7,0)</f>
        <v>49.682093755145431</v>
      </c>
      <c r="K70" s="43">
        <f>VLOOKUP($C$5,'All data'!$G$2285:$J$2299,4,0)</f>
        <v>1.55</v>
      </c>
      <c r="L70" s="93" t="str">
        <f>VLOOKUP($D70,'All data'!$E$2:$M$2281,9,0)</f>
        <v>..</v>
      </c>
    </row>
    <row r="71" spans="1:12">
      <c r="A71" s="90" t="str">
        <f t="shared" si="2"/>
        <v/>
      </c>
      <c r="B71" s="43" t="s">
        <v>63</v>
      </c>
      <c r="C71" s="43" t="str">
        <f>VLOOKUP(B71,'country codes'!$A$3:$B$287,2,0)</f>
        <v>DZA</v>
      </c>
      <c r="D71" s="91" t="str">
        <f t="shared" si="3"/>
        <v>2020DZA</v>
      </c>
      <c r="E71" s="43">
        <v>4</v>
      </c>
      <c r="F71" s="59">
        <f>VLOOKUP($D71,'All data'!$E$2:$M$2281,2,0)</f>
        <v>43851.042999999998</v>
      </c>
      <c r="G71" s="59">
        <f>VLOOKUP($D71,'All data'!$E$2:$M$2281,4,0)</f>
        <v>76.894260550458725</v>
      </c>
      <c r="H71" s="60" t="str">
        <f>VLOOKUP($D71,'All data'!$E$2:$M$2281,5,0)</f>
        <v/>
      </c>
      <c r="I71" s="60">
        <f>VLOOKUP($D71,'All data'!$E$2:$M$2281,6,0)</f>
        <v>2.0360656695455885</v>
      </c>
      <c r="J71" s="92" t="str">
        <f>VLOOKUP($D71,'All data'!$E$2:$M$2281,7,0)</f>
        <v/>
      </c>
      <c r="K71" s="43">
        <f>VLOOKUP($C$5,'All data'!$G$2285:$J$2299,4,0)</f>
        <v>1.55</v>
      </c>
      <c r="L71" s="93" t="str">
        <f>VLOOKUP($D71,'All data'!$E$2:$M$2281,9,0)</f>
        <v>..</v>
      </c>
    </row>
    <row r="72" spans="1:12">
      <c r="A72" s="90">
        <f t="shared" si="2"/>
        <v>46</v>
      </c>
      <c r="B72" s="43" t="s">
        <v>84</v>
      </c>
      <c r="C72" s="43" t="str">
        <f>VLOOKUP(B72,'country codes'!$A$3:$B$287,2,0)</f>
        <v>PRT</v>
      </c>
      <c r="D72" s="91" t="str">
        <f t="shared" si="3"/>
        <v>2020PRT</v>
      </c>
      <c r="E72" s="43">
        <v>3</v>
      </c>
      <c r="F72" s="59">
        <f>VLOOKUP($D72,'All data'!$E$2:$M$2281,2,0)</f>
        <v>10196.707</v>
      </c>
      <c r="G72" s="59">
        <f>VLOOKUP($D72,'All data'!$E$2:$M$2281,4,0)</f>
        <v>81.199999999999989</v>
      </c>
      <c r="H72" s="60">
        <f>VLOOKUP($D72,'All data'!$E$2:$M$2281,5,0)</f>
        <v>5.7677922248840332</v>
      </c>
      <c r="I72" s="60">
        <f>VLOOKUP($D72,'All data'!$E$2:$M$2281,6,0)</f>
        <v>4.0409733057493602</v>
      </c>
      <c r="J72" s="92">
        <f>VLOOKUP($D72,'All data'!$E$2:$M$2281,7,0)</f>
        <v>46.950944827866209</v>
      </c>
      <c r="K72" s="43">
        <f>VLOOKUP($C$5,'All data'!$G$2285:$J$2299,4,0)</f>
        <v>1.55</v>
      </c>
      <c r="L72" s="93" t="str">
        <f>VLOOKUP($D72,'All data'!$E$2:$M$2281,9,0)</f>
        <v>..</v>
      </c>
    </row>
    <row r="73" spans="1:12">
      <c r="A73" s="90" t="str">
        <f t="shared" si="2"/>
        <v/>
      </c>
      <c r="B73" s="43" t="s">
        <v>77</v>
      </c>
      <c r="C73" s="43" t="str">
        <f>VLOOKUP(B73,'country codes'!$A$3:$B$287,2,0)</f>
        <v>ROU</v>
      </c>
      <c r="D73" s="91" t="str">
        <f t="shared" si="3"/>
        <v>2020ROU</v>
      </c>
      <c r="E73" s="43">
        <v>7</v>
      </c>
      <c r="F73" s="59">
        <f>VLOOKUP($D73,'All data'!$E$2:$M$2281,2,0)</f>
        <v>19237.682000000001</v>
      </c>
      <c r="G73" s="59">
        <f>VLOOKUP($D73,'All data'!$E$2:$M$2281,4,0)</f>
        <v>74.600000000000009</v>
      </c>
      <c r="H73" s="60" t="str">
        <f>VLOOKUP($D73,'All data'!$E$2:$M$2281,5,0)</f>
        <v/>
      </c>
      <c r="I73" s="60">
        <f>VLOOKUP($D73,'All data'!$E$2:$M$2281,6,0)</f>
        <v>3.7168785527889798</v>
      </c>
      <c r="J73" s="92" t="str">
        <f>VLOOKUP($D73,'All data'!$E$2:$M$2281,7,0)</f>
        <v/>
      </c>
      <c r="K73" s="43">
        <f>VLOOKUP($C$5,'All data'!$G$2285:$J$2299,4,0)</f>
        <v>1.55</v>
      </c>
      <c r="L73" s="93" t="str">
        <f>VLOOKUP($D73,'All data'!$E$2:$M$2281,9,0)</f>
        <v>..</v>
      </c>
    </row>
    <row r="74" spans="1:12">
      <c r="A74" s="90">
        <f t="shared" ref="A74:A105" si="4">IFERROR(RANK(J74,$J$10:$J$161),"")</f>
        <v>23</v>
      </c>
      <c r="B74" s="43" t="s">
        <v>69</v>
      </c>
      <c r="C74" s="43" t="str">
        <f>VLOOKUP(B74,'country codes'!$A$3:$B$287,2,0)</f>
        <v>HRV</v>
      </c>
      <c r="D74" s="91" t="str">
        <f t="shared" ref="D74:D105" si="5">$C$5&amp;C74</f>
        <v>2020HRV</v>
      </c>
      <c r="E74" s="43">
        <v>7</v>
      </c>
      <c r="F74" s="59">
        <f>VLOOKUP($D74,'All data'!$E$2:$M$2281,2,0)</f>
        <v>4105.268</v>
      </c>
      <c r="G74" s="59">
        <f>VLOOKUP($D74,'All data'!$E$2:$M$2281,4,0)</f>
        <v>77.7</v>
      </c>
      <c r="H74" s="60">
        <f>VLOOKUP($D74,'All data'!$E$2:$M$2281,5,0)</f>
        <v>6.5079922676086426</v>
      </c>
      <c r="I74" s="60">
        <f>VLOOKUP($D74,'All data'!$E$2:$M$2281,6,0)</f>
        <v>3.4263248259222014</v>
      </c>
      <c r="J74" s="92">
        <f>VLOOKUP($D74,'All data'!$E$2:$M$2281,7,0)</f>
        <v>52.030886601885435</v>
      </c>
      <c r="K74" s="43">
        <f>VLOOKUP($C$5,'All data'!$G$2285:$J$2299,4,0)</f>
        <v>1.55</v>
      </c>
      <c r="L74" s="93" t="str">
        <f>VLOOKUP($D74,'All data'!$E$2:$M$2281,9,0)</f>
        <v>..</v>
      </c>
    </row>
    <row r="75" spans="1:12">
      <c r="A75" s="90" t="str">
        <f t="shared" si="4"/>
        <v/>
      </c>
      <c r="B75" s="43" t="s">
        <v>47</v>
      </c>
      <c r="C75" s="43" t="str">
        <f>VLOOKUP(B75,'country codes'!$A$3:$B$287,2,0)</f>
        <v>LBR</v>
      </c>
      <c r="D75" s="91" t="str">
        <f t="shared" si="5"/>
        <v>2020LBR</v>
      </c>
      <c r="E75" s="43">
        <v>5</v>
      </c>
      <c r="F75" s="59">
        <f>VLOOKUP($D75,'All data'!$E$2:$M$2281,2,0)</f>
        <v>5057.6769999999997</v>
      </c>
      <c r="G75" s="59">
        <f>VLOOKUP($D75,'All data'!$E$2:$M$2281,4,0)</f>
        <v>64.448565137614665</v>
      </c>
      <c r="H75" s="60" t="str">
        <f>VLOOKUP($D75,'All data'!$E$2:$M$2281,5,0)</f>
        <v/>
      </c>
      <c r="I75" s="60" t="str">
        <f>VLOOKUP($D75,'All data'!$E$2:$M$2281,6,0)</f>
        <v/>
      </c>
      <c r="J75" s="92" t="str">
        <f>VLOOKUP($D75,'All data'!$E$2:$M$2281,7,0)</f>
        <v/>
      </c>
      <c r="K75" s="43">
        <f>VLOOKUP($C$5,'All data'!$G$2285:$J$2299,4,0)</f>
        <v>1.55</v>
      </c>
      <c r="L75" s="93" t="str">
        <f>VLOOKUP($D75,'All data'!$E$2:$M$2281,9,0)</f>
        <v>..</v>
      </c>
    </row>
    <row r="76" spans="1:12">
      <c r="A76" s="90">
        <f t="shared" si="4"/>
        <v>44</v>
      </c>
      <c r="B76" s="43" t="s">
        <v>86</v>
      </c>
      <c r="C76" s="43" t="str">
        <f>VLOOKUP(B76,'country codes'!$A$3:$B$287,2,0)</f>
        <v>CHL</v>
      </c>
      <c r="D76" s="91" t="str">
        <f t="shared" si="5"/>
        <v>2020CHL</v>
      </c>
      <c r="E76" s="43">
        <v>1</v>
      </c>
      <c r="F76" s="59">
        <f>VLOOKUP($D76,'All data'!$E$2:$M$2281,2,0)</f>
        <v>19116.208999999999</v>
      </c>
      <c r="G76" s="59">
        <f>VLOOKUP($D76,'All data'!$E$2:$M$2281,4,0)</f>
        <v>79</v>
      </c>
      <c r="H76" s="60">
        <f>VLOOKUP($D76,'All data'!$E$2:$M$2281,5,0)</f>
        <v>6.1506428718566895</v>
      </c>
      <c r="I76" s="60">
        <f>VLOOKUP($D76,'All data'!$E$2:$M$2281,6,0)</f>
        <v>4.1536759308653224</v>
      </c>
      <c r="J76" s="92">
        <f>VLOOKUP($D76,'All data'!$E$2:$M$2281,7,0)</f>
        <v>47.26678436361771</v>
      </c>
      <c r="K76" s="43">
        <f>VLOOKUP($C$5,'All data'!$G$2285:$J$2299,4,0)</f>
        <v>1.55</v>
      </c>
      <c r="L76" s="93" t="str">
        <f>VLOOKUP($D76,'All data'!$E$2:$M$2281,9,0)</f>
        <v>..</v>
      </c>
    </row>
    <row r="77" spans="1:12">
      <c r="A77" s="90" t="str">
        <f t="shared" si="4"/>
        <v/>
      </c>
      <c r="B77" s="43" t="s">
        <v>95</v>
      </c>
      <c r="C77" s="43" t="str">
        <f>VLOOKUP(B77,'country codes'!$A$3:$B$287,2,0)</f>
        <v>SGP</v>
      </c>
      <c r="D77" s="91" t="str">
        <f t="shared" si="5"/>
        <v>2020SGP</v>
      </c>
      <c r="E77" s="43">
        <v>8</v>
      </c>
      <c r="F77" s="59">
        <f>VLOOKUP($D77,'All data'!$E$2:$M$2281,2,0)</f>
        <v>5850.3429999999998</v>
      </c>
      <c r="G77" s="59">
        <f>VLOOKUP($D77,'All data'!$E$2:$M$2281,4,0)</f>
        <v>83.687141284403651</v>
      </c>
      <c r="H77" s="60" t="str">
        <f>VLOOKUP($D77,'All data'!$E$2:$M$2281,5,0)</f>
        <v/>
      </c>
      <c r="I77" s="60">
        <f>VLOOKUP($D77,'All data'!$E$2:$M$2281,6,0)</f>
        <v>5.3651044279693636</v>
      </c>
      <c r="J77" s="92" t="str">
        <f>VLOOKUP($D77,'All data'!$E$2:$M$2281,7,0)</f>
        <v/>
      </c>
      <c r="K77" s="43">
        <f>VLOOKUP($C$5,'All data'!$G$2285:$J$2299,4,0)</f>
        <v>1.55</v>
      </c>
      <c r="L77" s="93" t="str">
        <f>VLOOKUP($D77,'All data'!$E$2:$M$2281,9,0)</f>
        <v>..</v>
      </c>
    </row>
    <row r="78" spans="1:12">
      <c r="A78" s="90">
        <f t="shared" si="4"/>
        <v>48</v>
      </c>
      <c r="B78" s="43" t="s">
        <v>85</v>
      </c>
      <c r="C78" s="43" t="str">
        <f>VLOOKUP(B78,'country codes'!$A$3:$B$287,2,0)</f>
        <v>HUN</v>
      </c>
      <c r="D78" s="91" t="str">
        <f t="shared" si="5"/>
        <v>2020HUN</v>
      </c>
      <c r="E78" s="43">
        <v>7</v>
      </c>
      <c r="F78" s="59">
        <f>VLOOKUP($D78,'All data'!$E$2:$M$2281,2,0)</f>
        <v>9660.35</v>
      </c>
      <c r="G78" s="59">
        <f>VLOOKUP($D78,'All data'!$E$2:$M$2281,4,0)</f>
        <v>76.100000000000009</v>
      </c>
      <c r="H78" s="60">
        <f>VLOOKUP($D78,'All data'!$E$2:$M$2281,5,0)</f>
        <v>6.0380496978759766</v>
      </c>
      <c r="I78" s="60">
        <f>VLOOKUP($D78,'All data'!$E$2:$M$2281,6,0)</f>
        <v>3.9259405306933512</v>
      </c>
      <c r="J78" s="92">
        <f>VLOOKUP($D78,'All data'!$E$2:$M$2281,7,0)</f>
        <v>45.692865357495457</v>
      </c>
      <c r="K78" s="43">
        <f>VLOOKUP($C$5,'All data'!$G$2285:$J$2299,4,0)</f>
        <v>1.55</v>
      </c>
      <c r="L78" s="93" t="str">
        <f>VLOOKUP($D78,'All data'!$E$2:$M$2281,9,0)</f>
        <v>..</v>
      </c>
    </row>
    <row r="79" spans="1:12">
      <c r="A79" s="90">
        <f t="shared" si="4"/>
        <v>42</v>
      </c>
      <c r="B79" s="43" t="s">
        <v>101</v>
      </c>
      <c r="C79" s="43" t="str">
        <f>VLOOKUP(B79,'country codes'!$A$3:$B$287,2,0)</f>
        <v>DNK</v>
      </c>
      <c r="D79" s="91" t="str">
        <f t="shared" si="5"/>
        <v>2020DNK</v>
      </c>
      <c r="E79" s="43">
        <v>3</v>
      </c>
      <c r="F79" s="59">
        <f>VLOOKUP($D79,'All data'!$E$2:$M$2281,2,0)</f>
        <v>5792.2030000000004</v>
      </c>
      <c r="G79" s="59">
        <f>VLOOKUP($D79,'All data'!$E$2:$M$2281,4,0)</f>
        <v>81</v>
      </c>
      <c r="H79" s="60">
        <f>VLOOKUP($D79,'All data'!$E$2:$M$2281,5,0)</f>
        <v>7.5146312713623047</v>
      </c>
      <c r="I79" s="60">
        <f>VLOOKUP($D79,'All data'!$E$2:$M$2281,6,0)</f>
        <v>6.1378889063841573</v>
      </c>
      <c r="J79" s="92">
        <f>VLOOKUP($D79,'All data'!$E$2:$M$2281,7,0)</f>
        <v>47.728895353898622</v>
      </c>
      <c r="K79" s="43">
        <f>VLOOKUP($C$5,'All data'!$G$2285:$J$2299,4,0)</f>
        <v>1.55</v>
      </c>
      <c r="L79" s="93" t="str">
        <f>VLOOKUP($D79,'All data'!$E$2:$M$2281,9,0)</f>
        <v>..</v>
      </c>
    </row>
    <row r="80" spans="1:12">
      <c r="A80" s="90">
        <f t="shared" si="4"/>
        <v>54</v>
      </c>
      <c r="B80" s="43" t="s">
        <v>65</v>
      </c>
      <c r="C80" s="43" t="str">
        <f>VLOOKUP(B80,'country codes'!$A$3:$B$287,2,0)</f>
        <v>IRQ</v>
      </c>
      <c r="D80" s="91" t="str">
        <f t="shared" si="5"/>
        <v>2020IRQ</v>
      </c>
      <c r="E80" s="43">
        <v>4</v>
      </c>
      <c r="F80" s="59">
        <f>VLOOKUP($D80,'All data'!$E$2:$M$2281,2,0)</f>
        <v>40222.502999999997</v>
      </c>
      <c r="G80" s="59">
        <f>VLOOKUP($D80,'All data'!$E$2:$M$2281,4,0)</f>
        <v>69.594150458715589</v>
      </c>
      <c r="H80" s="60">
        <f>VLOOKUP($D80,'All data'!$E$2:$M$2281,5,0)</f>
        <v>4.7851653099060059</v>
      </c>
      <c r="I80" s="60">
        <f>VLOOKUP($D80,'All data'!$E$2:$M$2281,6,0)</f>
        <v>1.5600840303920369</v>
      </c>
      <c r="J80" s="92">
        <f>VLOOKUP($D80,'All data'!$E$2:$M$2281,7,0)</f>
        <v>45.125148421473561</v>
      </c>
      <c r="K80" s="43">
        <f>VLOOKUP($C$5,'All data'!$G$2285:$J$2299,4,0)</f>
        <v>1.55</v>
      </c>
      <c r="L80" s="93" t="str">
        <f>VLOOKUP($D80,'All data'!$E$2:$M$2281,9,0)</f>
        <v>..</v>
      </c>
    </row>
    <row r="81" spans="1:12">
      <c r="A81" s="90">
        <f t="shared" si="4"/>
        <v>52</v>
      </c>
      <c r="B81" s="43" t="s">
        <v>53</v>
      </c>
      <c r="C81" s="43" t="str">
        <f>VLOOKUP(B81,'country codes'!$A$3:$B$287,2,0)</f>
        <v>KEN</v>
      </c>
      <c r="D81" s="91" t="str">
        <f t="shared" si="5"/>
        <v>2020KEN</v>
      </c>
      <c r="E81" s="43">
        <v>5</v>
      </c>
      <c r="F81" s="59">
        <f>VLOOKUP($D81,'All data'!$E$2:$M$2281,2,0)</f>
        <v>53771.3</v>
      </c>
      <c r="G81" s="59">
        <f>VLOOKUP($D81,'All data'!$E$2:$M$2281,4,0)</f>
        <v>66.971412844036706</v>
      </c>
      <c r="H81" s="60">
        <f>VLOOKUP($D81,'All data'!$E$2:$M$2281,5,0)</f>
        <v>4.5465841293334961</v>
      </c>
      <c r="I81" s="60">
        <f>VLOOKUP($D81,'All data'!$E$2:$M$2281,6,0)</f>
        <v>0.91729946693886077</v>
      </c>
      <c r="J81" s="92">
        <f>VLOOKUP($D81,'All data'!$E$2:$M$2281,7,0)</f>
        <v>45.261226418231061</v>
      </c>
      <c r="K81" s="43">
        <f>VLOOKUP($C$5,'All data'!$G$2285:$J$2299,4,0)</f>
        <v>1.55</v>
      </c>
      <c r="L81" s="93" t="str">
        <f>VLOOKUP($D81,'All data'!$E$2:$M$2281,9,0)</f>
        <v>..</v>
      </c>
    </row>
    <row r="82" spans="1:12">
      <c r="A82" s="90" t="str">
        <f t="shared" si="4"/>
        <v/>
      </c>
      <c r="B82" s="43" t="s">
        <v>51</v>
      </c>
      <c r="C82" s="43" t="str">
        <f>VLOOKUP(B82,'country codes'!$A$3:$B$287,2,0)</f>
        <v>PAK</v>
      </c>
      <c r="D82" s="91" t="str">
        <f t="shared" si="5"/>
        <v>2020PAK</v>
      </c>
      <c r="E82" s="43">
        <v>6</v>
      </c>
      <c r="F82" s="59">
        <f>VLOOKUP($D82,'All data'!$E$2:$M$2281,2,0)</f>
        <v>220892.33100000001</v>
      </c>
      <c r="G82" s="59">
        <f>VLOOKUP($D82,'All data'!$E$2:$M$2281,4,0)</f>
        <v>67.371412844036698</v>
      </c>
      <c r="H82" s="60" t="str">
        <f>VLOOKUP($D82,'All data'!$E$2:$M$2281,5,0)</f>
        <v/>
      </c>
      <c r="I82" s="60">
        <f>VLOOKUP($D82,'All data'!$E$2:$M$2281,6,0)</f>
        <v>0.85360562048360844</v>
      </c>
      <c r="J82" s="92" t="str">
        <f>VLOOKUP($D82,'All data'!$E$2:$M$2281,7,0)</f>
        <v/>
      </c>
      <c r="K82" s="43">
        <f>VLOOKUP($C$5,'All data'!$G$2285:$J$2299,4,0)</f>
        <v>1.55</v>
      </c>
      <c r="L82" s="93" t="str">
        <f>VLOOKUP($D82,'All data'!$E$2:$M$2281,9,0)</f>
        <v>..</v>
      </c>
    </row>
    <row r="83" spans="1:12">
      <c r="A83" s="90">
        <f t="shared" si="4"/>
        <v>56</v>
      </c>
      <c r="B83" s="43" t="s">
        <v>94</v>
      </c>
      <c r="C83" s="43" t="str">
        <f>VLOOKUP(B83,'country codes'!$A$3:$B$287,2,0)</f>
        <v>POL</v>
      </c>
      <c r="D83" s="91" t="str">
        <f t="shared" si="5"/>
        <v>2020POL</v>
      </c>
      <c r="E83" s="43">
        <v>7</v>
      </c>
      <c r="F83" s="59">
        <f>VLOOKUP($D83,'All data'!$E$2:$M$2281,2,0)</f>
        <v>37846.605000000003</v>
      </c>
      <c r="G83" s="59">
        <f>VLOOKUP($D83,'All data'!$E$2:$M$2281,4,0)</f>
        <v>77.3</v>
      </c>
      <c r="H83" s="60">
        <f>VLOOKUP($D83,'All data'!$E$2:$M$2281,5,0)</f>
        <v>6.1394553184509277</v>
      </c>
      <c r="I83" s="60">
        <f>VLOOKUP($D83,'All data'!$E$2:$M$2281,6,0)</f>
        <v>4.4281036515331156</v>
      </c>
      <c r="J83" s="92">
        <f>VLOOKUP($D83,'All data'!$E$2:$M$2281,7,0)</f>
        <v>44.901684433390841</v>
      </c>
      <c r="K83" s="43">
        <f>VLOOKUP($C$5,'All data'!$G$2285:$J$2299,4,0)</f>
        <v>1.55</v>
      </c>
      <c r="L83" s="93" t="str">
        <f>VLOOKUP($D83,'All data'!$E$2:$M$2281,9,0)</f>
        <v>..</v>
      </c>
    </row>
    <row r="84" spans="1:12">
      <c r="A84" s="90">
        <f t="shared" si="4"/>
        <v>62</v>
      </c>
      <c r="B84" s="43" t="s">
        <v>78</v>
      </c>
      <c r="C84" s="43" t="str">
        <f>VLOOKUP(B84,'country codes'!$A$3:$B$287,2,0)</f>
        <v>BOL</v>
      </c>
      <c r="D84" s="91" t="str">
        <f t="shared" si="5"/>
        <v>2020BOL</v>
      </c>
      <c r="E84" s="43">
        <v>1</v>
      </c>
      <c r="F84" s="59">
        <f>VLOOKUP($D84,'All data'!$E$2:$M$2281,2,0)</f>
        <v>11673.029</v>
      </c>
      <c r="G84" s="59">
        <f>VLOOKUP($D84,'All data'!$E$2:$M$2281,4,0)</f>
        <v>69.665453211009179</v>
      </c>
      <c r="H84" s="60">
        <f>VLOOKUP($D84,'All data'!$E$2:$M$2281,5,0)</f>
        <v>5.5592589378356934</v>
      </c>
      <c r="I84" s="60">
        <f>VLOOKUP($D84,'All data'!$E$2:$M$2281,6,0)</f>
        <v>2.7659876504779493</v>
      </c>
      <c r="J84" s="92">
        <f>VLOOKUP($D84,'All data'!$E$2:$M$2281,7,0)</f>
        <v>43.787507589537164</v>
      </c>
      <c r="K84" s="43">
        <f>VLOOKUP($C$5,'All data'!$G$2285:$J$2299,4,0)</f>
        <v>1.55</v>
      </c>
      <c r="L84" s="93" t="str">
        <f>VLOOKUP($D84,'All data'!$E$2:$M$2281,9,0)</f>
        <v>..</v>
      </c>
    </row>
    <row r="85" spans="1:12">
      <c r="A85" s="90" t="str">
        <f t="shared" si="4"/>
        <v/>
      </c>
      <c r="B85" s="43" t="s">
        <v>56</v>
      </c>
      <c r="C85" s="43" t="str">
        <f>VLOOKUP(B85,'country codes'!$A$3:$B$287,2,0)</f>
        <v>UGA</v>
      </c>
      <c r="D85" s="91" t="str">
        <f t="shared" si="5"/>
        <v>2020UGA</v>
      </c>
      <c r="E85" s="43">
        <v>5</v>
      </c>
      <c r="F85" s="59">
        <f>VLOOKUP($D85,'All data'!$E$2:$M$2281,2,0)</f>
        <v>45741</v>
      </c>
      <c r="G85" s="59" t="str">
        <f>VLOOKUP($D85,'All data'!$E$2:$M$2281,4,0)</f>
        <v/>
      </c>
      <c r="H85" s="60">
        <f>VLOOKUP($D85,'All data'!$E$2:$M$2281,5,0)</f>
        <v>4.6409096717834473</v>
      </c>
      <c r="I85" s="60">
        <f>VLOOKUP($D85,'All data'!$E$2:$M$2281,6,0)</f>
        <v>0.94220792898940187</v>
      </c>
      <c r="J85" s="92" t="str">
        <f>VLOOKUP($D85,'All data'!$E$2:$M$2281,7,0)</f>
        <v/>
      </c>
      <c r="K85" s="43">
        <f>VLOOKUP($C$5,'All data'!$G$2285:$J$2299,4,0)</f>
        <v>1.55</v>
      </c>
      <c r="L85" s="93" t="str">
        <f>VLOOKUP($D85,'All data'!$E$2:$M$2281,9,0)</f>
        <v>..</v>
      </c>
    </row>
    <row r="86" spans="1:12">
      <c r="A86" s="90" t="str">
        <f t="shared" si="4"/>
        <v/>
      </c>
      <c r="B86" s="43" t="s">
        <v>48</v>
      </c>
      <c r="C86" s="43" t="str">
        <f>VLOOKUP(B86,'country codes'!$A$3:$B$287,2,0)</f>
        <v>YEM</v>
      </c>
      <c r="D86" s="91" t="str">
        <f t="shared" si="5"/>
        <v>2020YEM</v>
      </c>
      <c r="E86" s="43">
        <v>4</v>
      </c>
      <c r="F86" s="59">
        <f>VLOOKUP($D86,'All data'!$E$2:$M$2281,2,0)</f>
        <v>29825.968000000001</v>
      </c>
      <c r="G86" s="59">
        <f>VLOOKUP($D86,'All data'!$E$2:$M$2281,4,0)</f>
        <v>66.022847706422013</v>
      </c>
      <c r="H86" s="60" t="str">
        <f>VLOOKUP($D86,'All data'!$E$2:$M$2281,5,0)</f>
        <v/>
      </c>
      <c r="I86" s="60" t="str">
        <f>VLOOKUP($D86,'All data'!$E$2:$M$2281,6,0)</f>
        <v/>
      </c>
      <c r="J86" s="92" t="str">
        <f>VLOOKUP($D86,'All data'!$E$2:$M$2281,7,0)</f>
        <v/>
      </c>
      <c r="K86" s="43">
        <f>VLOOKUP($C$5,'All data'!$G$2285:$J$2299,4,0)</f>
        <v>1.55</v>
      </c>
      <c r="L86" s="93" t="str">
        <f>VLOOKUP($D86,'All data'!$E$2:$M$2281,9,0)</f>
        <v>..</v>
      </c>
    </row>
    <row r="87" spans="1:12">
      <c r="A87" s="90">
        <f t="shared" si="4"/>
        <v>47</v>
      </c>
      <c r="B87" s="43" t="s">
        <v>79</v>
      </c>
      <c r="C87" s="43" t="str">
        <f>VLOOKUP(B87,'country codes'!$A$3:$B$287,2,0)</f>
        <v>GEO</v>
      </c>
      <c r="D87" s="91" t="str">
        <f t="shared" si="5"/>
        <v>2020GEO</v>
      </c>
      <c r="E87" s="43">
        <v>7</v>
      </c>
      <c r="F87" s="59">
        <f>VLOOKUP($D87,'All data'!$E$2:$M$2281,2,0)</f>
        <v>3989.1750000000002</v>
      </c>
      <c r="G87" s="59">
        <f>VLOOKUP($D87,'All data'!$E$2:$M$2281,4,0)</f>
        <v>73.331346788990828</v>
      </c>
      <c r="H87" s="60">
        <f>VLOOKUP($D87,'All data'!$E$2:$M$2281,5,0)</f>
        <v>5.123143196105957</v>
      </c>
      <c r="I87" s="60">
        <f>VLOOKUP($D87,'All data'!$E$2:$M$2281,6,0)</f>
        <v>2.3591060852159895</v>
      </c>
      <c r="J87" s="92">
        <f>VLOOKUP($D87,'All data'!$E$2:$M$2281,7,0)</f>
        <v>45.744928966897263</v>
      </c>
      <c r="K87" s="43">
        <f>VLOOKUP($C$5,'All data'!$G$2285:$J$2299,4,0)</f>
        <v>1.55</v>
      </c>
      <c r="L87" s="93" t="str">
        <f>VLOOKUP($D87,'All data'!$E$2:$M$2281,9,0)</f>
        <v>..</v>
      </c>
    </row>
    <row r="88" spans="1:12">
      <c r="A88" s="90" t="str">
        <f t="shared" si="4"/>
        <v/>
      </c>
      <c r="B88" s="43" t="s">
        <v>55</v>
      </c>
      <c r="C88" s="43" t="str">
        <f>VLOOKUP(B88,'country codes'!$A$3:$B$287,2,0)</f>
        <v>MOZ</v>
      </c>
      <c r="D88" s="91" t="str">
        <f t="shared" si="5"/>
        <v>2020MOZ</v>
      </c>
      <c r="E88" s="43">
        <v>5</v>
      </c>
      <c r="F88" s="59">
        <f>VLOOKUP($D88,'All data'!$E$2:$M$2281,2,0)</f>
        <v>31255.435000000001</v>
      </c>
      <c r="G88" s="59">
        <f>VLOOKUP($D88,'All data'!$E$2:$M$2281,4,0)</f>
        <v>61.587141284403664</v>
      </c>
      <c r="H88" s="60" t="str">
        <f>VLOOKUP($D88,'All data'!$E$2:$M$2281,5,0)</f>
        <v/>
      </c>
      <c r="I88" s="60" t="str">
        <f>VLOOKUP($D88,'All data'!$E$2:$M$2281,6,0)</f>
        <v/>
      </c>
      <c r="J88" s="92" t="str">
        <f>VLOOKUP($D88,'All data'!$E$2:$M$2281,7,0)</f>
        <v/>
      </c>
      <c r="K88" s="43">
        <f>VLOOKUP($C$5,'All data'!$G$2285:$J$2299,4,0)</f>
        <v>1.55</v>
      </c>
      <c r="L88" s="93" t="str">
        <f>VLOOKUP($D88,'All data'!$E$2:$M$2281,9,0)</f>
        <v>..</v>
      </c>
    </row>
    <row r="89" spans="1:12">
      <c r="A89" s="90" t="str">
        <f t="shared" si="4"/>
        <v/>
      </c>
      <c r="B89" s="43" t="s">
        <v>60</v>
      </c>
      <c r="C89" s="43" t="str">
        <f>VLOOKUP(B89,'country codes'!$A$3:$B$287,2,0)</f>
        <v>MDG</v>
      </c>
      <c r="D89" s="91" t="str">
        <f t="shared" si="5"/>
        <v>2020MDG</v>
      </c>
      <c r="E89" s="43">
        <v>5</v>
      </c>
      <c r="F89" s="59">
        <f>VLOOKUP($D89,'All data'!$E$2:$M$2281,2,0)</f>
        <v>27691.019</v>
      </c>
      <c r="G89" s="59">
        <f>VLOOKUP($D89,'All data'!$E$2:$M$2281,4,0)</f>
        <v>67.261423853210999</v>
      </c>
      <c r="H89" s="60" t="str">
        <f>VLOOKUP($D89,'All data'!$E$2:$M$2281,5,0)</f>
        <v/>
      </c>
      <c r="I89" s="60" t="str">
        <f>VLOOKUP($D89,'All data'!$E$2:$M$2281,6,0)</f>
        <v/>
      </c>
      <c r="J89" s="92" t="str">
        <f>VLOOKUP($D89,'All data'!$E$2:$M$2281,7,0)</f>
        <v/>
      </c>
      <c r="K89" s="43">
        <f>VLOOKUP($C$5,'All data'!$G$2285:$J$2299,4,0)</f>
        <v>1.55</v>
      </c>
      <c r="L89" s="93" t="str">
        <f>VLOOKUP($D89,'All data'!$E$2:$M$2281,9,0)</f>
        <v>..</v>
      </c>
    </row>
    <row r="90" spans="1:12">
      <c r="A90" s="90">
        <f t="shared" si="4"/>
        <v>43</v>
      </c>
      <c r="B90" s="43" t="s">
        <v>72</v>
      </c>
      <c r="C90" s="43" t="str">
        <f>VLOOKUP(B90,'country codes'!$A$3:$B$287,2,0)</f>
        <v>TUN</v>
      </c>
      <c r="D90" s="91" t="str">
        <f t="shared" si="5"/>
        <v>2020TUN</v>
      </c>
      <c r="E90" s="43">
        <v>4</v>
      </c>
      <c r="F90" s="59">
        <f>VLOOKUP($D90,'All data'!$E$2:$M$2281,2,0)</f>
        <v>11818.618</v>
      </c>
      <c r="G90" s="59">
        <f>VLOOKUP($D90,'All data'!$E$2:$M$2281,4,0)</f>
        <v>76.089900917431194</v>
      </c>
      <c r="H90" s="60">
        <f>VLOOKUP($D90,'All data'!$E$2:$M$2281,5,0)</f>
        <v>4.7308111190795898</v>
      </c>
      <c r="I90" s="60">
        <f>VLOOKUP($D90,'All data'!$E$2:$M$2281,6,0)</f>
        <v>1.9294321216889525</v>
      </c>
      <c r="J90" s="92">
        <f>VLOOKUP($D90,'All data'!$E$2:$M$2281,7,0)</f>
        <v>47.394659443192353</v>
      </c>
      <c r="K90" s="43">
        <f>VLOOKUP($C$5,'All data'!$G$2285:$J$2299,4,0)</f>
        <v>1.55</v>
      </c>
      <c r="L90" s="93" t="str">
        <f>VLOOKUP($D90,'All data'!$E$2:$M$2281,9,0)</f>
        <v>..</v>
      </c>
    </row>
    <row r="91" spans="1:12">
      <c r="A91" s="90">
        <f t="shared" si="4"/>
        <v>59</v>
      </c>
      <c r="B91" s="43" t="s">
        <v>87</v>
      </c>
      <c r="C91" s="43" t="str">
        <f>VLOOKUP(B91,'country codes'!$A$3:$B$287,2,0)</f>
        <v>MKD</v>
      </c>
      <c r="D91" s="91" t="str">
        <f t="shared" si="5"/>
        <v>2020MKD</v>
      </c>
      <c r="E91" s="43">
        <v>7</v>
      </c>
      <c r="F91" s="59">
        <f>VLOOKUP($D91,'All data'!$E$2:$M$2281,2,0)</f>
        <v>2083.38</v>
      </c>
      <c r="G91" s="59">
        <f>VLOOKUP($D91,'All data'!$E$2:$M$2281,4,0)</f>
        <v>74.434106422018345</v>
      </c>
      <c r="H91" s="60">
        <f>VLOOKUP($D91,'All data'!$E$2:$M$2281,5,0)</f>
        <v>5.0536642074584961</v>
      </c>
      <c r="I91" s="60">
        <f>VLOOKUP($D91,'All data'!$E$2:$M$2281,6,0)</f>
        <v>2.6616709055859498</v>
      </c>
      <c r="J91" s="92">
        <f>VLOOKUP($D91,'All data'!$E$2:$M$2281,7,0)</f>
        <v>44.531482875815712</v>
      </c>
      <c r="K91" s="43">
        <f>VLOOKUP($C$5,'All data'!$G$2285:$J$2299,4,0)</f>
        <v>1.55</v>
      </c>
      <c r="L91" s="93" t="str">
        <f>VLOOKUP($D91,'All data'!$E$2:$M$2281,9,0)</f>
        <v>..</v>
      </c>
    </row>
    <row r="92" spans="1:12">
      <c r="A92" s="90">
        <f t="shared" si="4"/>
        <v>73</v>
      </c>
      <c r="B92" s="43" t="s">
        <v>70</v>
      </c>
      <c r="C92" s="43" t="str">
        <f>VLOOKUP(B92,'country codes'!$A$3:$B$287,2,0)</f>
        <v>JOR</v>
      </c>
      <c r="D92" s="91" t="str">
        <f t="shared" si="5"/>
        <v>2020JOR</v>
      </c>
      <c r="E92" s="43">
        <v>4</v>
      </c>
      <c r="F92" s="59">
        <f>VLOOKUP($D92,'All data'!$E$2:$M$2281,2,0)</f>
        <v>10203.14</v>
      </c>
      <c r="G92" s="59">
        <f>VLOOKUP($D92,'All data'!$E$2:$M$2281,4,0)</f>
        <v>73.288411009174311</v>
      </c>
      <c r="H92" s="60">
        <f>VLOOKUP($D92,'All data'!$E$2:$M$2281,5,0)</f>
        <v>4.093991756439209</v>
      </c>
      <c r="I92" s="60">
        <f>VLOOKUP($D92,'All data'!$E$2:$M$2281,6,0)</f>
        <v>1.9536361508231579</v>
      </c>
      <c r="J92" s="92">
        <f>VLOOKUP($D92,'All data'!$E$2:$M$2281,7,0)</f>
        <v>40.935370914526864</v>
      </c>
      <c r="K92" s="43">
        <f>VLOOKUP($C$5,'All data'!$G$2285:$J$2299,4,0)</f>
        <v>1.55</v>
      </c>
      <c r="L92" s="93" t="str">
        <f>VLOOKUP($D92,'All data'!$E$2:$M$2281,9,0)</f>
        <v>..</v>
      </c>
    </row>
    <row r="93" spans="1:12">
      <c r="A93" s="90">
        <f t="shared" si="4"/>
        <v>70</v>
      </c>
      <c r="B93" s="43" t="s">
        <v>92</v>
      </c>
      <c r="C93" s="43" t="str">
        <f>VLOOKUP(B93,'country codes'!$A$3:$B$287,2,0)</f>
        <v>IRN</v>
      </c>
      <c r="D93" s="91" t="str">
        <f t="shared" si="5"/>
        <v>2020IRN</v>
      </c>
      <c r="E93" s="43">
        <v>4</v>
      </c>
      <c r="F93" s="59">
        <f>VLOOKUP($D93,'All data'!$E$2:$M$2281,2,0)</f>
        <v>83992.952999999994</v>
      </c>
      <c r="G93" s="59">
        <f>VLOOKUP($D93,'All data'!$E$2:$M$2281,4,0)</f>
        <v>75.305519266055057</v>
      </c>
      <c r="H93" s="60">
        <f>VLOOKUP($D93,'All data'!$E$2:$M$2281,5,0)</f>
        <v>4.8645281791687012</v>
      </c>
      <c r="I93" s="60">
        <f>VLOOKUP($D93,'All data'!$E$2:$M$2281,6,0)</f>
        <v>3.0941035143419153</v>
      </c>
      <c r="J93" s="92">
        <f>VLOOKUP($D93,'All data'!$E$2:$M$2281,7,0)</f>
        <v>41.904438357114877</v>
      </c>
      <c r="K93" s="43">
        <f>VLOOKUP($C$5,'All data'!$G$2285:$J$2299,4,0)</f>
        <v>1.55</v>
      </c>
      <c r="L93" s="93" t="str">
        <f>VLOOKUP($D93,'All data'!$E$2:$M$2281,9,0)</f>
        <v>..</v>
      </c>
    </row>
    <row r="94" spans="1:12">
      <c r="A94" s="90">
        <f t="shared" si="4"/>
        <v>65</v>
      </c>
      <c r="B94" s="43" t="s">
        <v>113</v>
      </c>
      <c r="C94" s="43" t="str">
        <f>VLOOKUP(B94,'country codes'!$A$3:$B$287,2,0)</f>
        <v>MLT</v>
      </c>
      <c r="D94" s="91" t="str">
        <f t="shared" si="5"/>
        <v>2020MLT</v>
      </c>
      <c r="E94" s="43">
        <v>3</v>
      </c>
      <c r="F94" s="59">
        <f>VLOOKUP($D94,'All data'!$E$2:$M$2281,2,0)</f>
        <v>441.53899999999999</v>
      </c>
      <c r="G94" s="59">
        <f>VLOOKUP($D94,'All data'!$E$2:$M$2281,4,0)</f>
        <v>82.199999999999989</v>
      </c>
      <c r="H94" s="60">
        <f>VLOOKUP($D94,'All data'!$E$2:$M$2281,5,0)</f>
        <v>6.156822681427002</v>
      </c>
      <c r="I94" s="60">
        <f>VLOOKUP($D94,'All data'!$E$2:$M$2281,6,0)</f>
        <v>5.6522676664748071</v>
      </c>
      <c r="J94" s="92">
        <f>VLOOKUP($D94,'All data'!$E$2:$M$2281,7,0)</f>
        <v>43.281823998178879</v>
      </c>
      <c r="K94" s="43">
        <f>VLOOKUP($C$5,'All data'!$G$2285:$J$2299,4,0)</f>
        <v>1.55</v>
      </c>
      <c r="L94" s="93" t="str">
        <f>VLOOKUP($D94,'All data'!$E$2:$M$2281,9,0)</f>
        <v>..</v>
      </c>
    </row>
    <row r="95" spans="1:12">
      <c r="A95" s="90">
        <f t="shared" si="4"/>
        <v>57</v>
      </c>
      <c r="B95" s="43" t="s">
        <v>71</v>
      </c>
      <c r="C95" s="43" t="str">
        <f>VLOOKUP(B95,'country codes'!$A$3:$B$287,2,0)</f>
        <v>EGY</v>
      </c>
      <c r="D95" s="91" t="str">
        <f t="shared" si="5"/>
        <v>2020EGY</v>
      </c>
      <c r="E95" s="43">
        <v>4</v>
      </c>
      <c r="F95" s="59">
        <f>VLOOKUP($D95,'All data'!$E$2:$M$2281,2,0)</f>
        <v>102334.40300000001</v>
      </c>
      <c r="G95" s="59">
        <f>VLOOKUP($D95,'All data'!$E$2:$M$2281,4,0)</f>
        <v>72.007119266055042</v>
      </c>
      <c r="H95" s="60">
        <f>VLOOKUP($D95,'All data'!$E$2:$M$2281,5,0)</f>
        <v>4.4723968505859375</v>
      </c>
      <c r="I95" s="60">
        <f>VLOOKUP($D95,'All data'!$E$2:$M$2281,6,0)</f>
        <v>1.5803911391567136</v>
      </c>
      <c r="J95" s="92">
        <f>VLOOKUP($D95,'All data'!$E$2:$M$2281,7,0)</f>
        <v>44.62797294900885</v>
      </c>
      <c r="K95" s="43">
        <f>VLOOKUP($C$5,'All data'!$G$2285:$J$2299,4,0)</f>
        <v>1.55</v>
      </c>
      <c r="L95" s="93" t="str">
        <f>VLOOKUP($D95,'All data'!$E$2:$M$2281,9,0)</f>
        <v>..</v>
      </c>
    </row>
    <row r="96" spans="1:12">
      <c r="A96" s="90">
        <f t="shared" si="4"/>
        <v>55</v>
      </c>
      <c r="B96" s="43" t="s">
        <v>114</v>
      </c>
      <c r="C96" s="43" t="str">
        <f>VLOOKUP(B96,'country codes'!$A$3:$B$287,2,0)</f>
        <v>TWN</v>
      </c>
      <c r="D96" s="91" t="str">
        <f t="shared" si="5"/>
        <v>2020TWN</v>
      </c>
      <c r="E96" s="43">
        <v>8</v>
      </c>
      <c r="F96" s="59">
        <f>VLOOKUP($D96,'All data'!$E$2:$M$2281,2,0)</f>
        <v>23816.775000000001</v>
      </c>
      <c r="G96" s="59">
        <f>VLOOKUP($D96,'All data'!$E$2:$M$2281,4,0)</f>
        <v>80.632599999999996</v>
      </c>
      <c r="H96" s="60">
        <f>VLOOKUP($D96,'All data'!$E$2:$M$2281,5,0)</f>
        <v>6.7510676383972168</v>
      </c>
      <c r="I96" s="60">
        <f>VLOOKUP($D96,'All data'!$E$2:$M$2281,6,0)</f>
        <v>5.7431410854684293</v>
      </c>
      <c r="J96" s="92">
        <f>VLOOKUP($D96,'All data'!$E$2:$M$2281,7,0)</f>
        <v>45.107903837777599</v>
      </c>
      <c r="K96" s="43">
        <f>VLOOKUP($C$5,'All data'!$G$2285:$J$2299,4,0)</f>
        <v>1.55</v>
      </c>
      <c r="L96" s="93" t="e">
        <f>VLOOKUP($D96,'All data'!$E$2:$M$2281,9,0)</f>
        <v>#N/A</v>
      </c>
    </row>
    <row r="97" spans="1:12">
      <c r="A97" s="90">
        <f t="shared" si="4"/>
        <v>60</v>
      </c>
      <c r="B97" s="43" t="s">
        <v>119</v>
      </c>
      <c r="C97" s="43" t="str">
        <f>VLOOKUP(B97,'country codes'!$A$3:$B$287,2,0)</f>
        <v>AUS</v>
      </c>
      <c r="D97" s="91" t="str">
        <f t="shared" si="5"/>
        <v>2020AUS</v>
      </c>
      <c r="E97" s="43">
        <v>2</v>
      </c>
      <c r="F97" s="59">
        <f>VLOOKUP($D97,'All data'!$E$2:$M$2281,2,0)</f>
        <v>25499.881000000001</v>
      </c>
      <c r="G97" s="59">
        <f>VLOOKUP($D97,'All data'!$E$2:$M$2281,4,0)</f>
        <v>83.422847706422033</v>
      </c>
      <c r="H97" s="60">
        <f>VLOOKUP($D97,'All data'!$E$2:$M$2281,5,0)</f>
        <v>7.1373677253723145</v>
      </c>
      <c r="I97" s="60">
        <f>VLOOKUP($D97,'All data'!$E$2:$M$2281,6,0)</f>
        <v>6.9514714763816432</v>
      </c>
      <c r="J97" s="92">
        <f>VLOOKUP($D97,'All data'!$E$2:$M$2281,7,0)</f>
        <v>44.457944445878169</v>
      </c>
      <c r="K97" s="43">
        <f>VLOOKUP($C$5,'All data'!$G$2285:$J$2299,4,0)</f>
        <v>1.55</v>
      </c>
      <c r="L97" s="93" t="str">
        <f>VLOOKUP($D97,'All data'!$E$2:$M$2281,9,0)</f>
        <v>..</v>
      </c>
    </row>
    <row r="98" spans="1:12">
      <c r="A98" s="90" t="str">
        <f t="shared" si="4"/>
        <v/>
      </c>
      <c r="B98" s="43" t="s">
        <v>103</v>
      </c>
      <c r="C98" s="43" t="str">
        <f>VLOOKUP(B98,'country codes'!$A$3:$B$287,2,0)</f>
        <v>BLR</v>
      </c>
      <c r="D98" s="91" t="str">
        <f t="shared" si="5"/>
        <v>2020BLR</v>
      </c>
      <c r="E98" s="43">
        <v>7</v>
      </c>
      <c r="F98" s="59">
        <f>VLOOKUP($D98,'All data'!$E$2:$M$2281,2,0)</f>
        <v>9449.3209999999999</v>
      </c>
      <c r="G98" s="59">
        <f>VLOOKUP($D98,'All data'!$E$2:$M$2281,4,0)</f>
        <v>74.8328366972477</v>
      </c>
      <c r="H98" s="60" t="str">
        <f>VLOOKUP($D98,'All data'!$E$2:$M$2281,5,0)</f>
        <v/>
      </c>
      <c r="I98" s="60">
        <f>VLOOKUP($D98,'All data'!$E$2:$M$2281,6,0)</f>
        <v>3.8779477059591936</v>
      </c>
      <c r="J98" s="92" t="str">
        <f>VLOOKUP($D98,'All data'!$E$2:$M$2281,7,0)</f>
        <v/>
      </c>
      <c r="K98" s="43">
        <f>VLOOKUP($C$5,'All data'!$G$2285:$J$2299,4,0)</f>
        <v>1.55</v>
      </c>
      <c r="L98" s="93" t="str">
        <f>VLOOKUP($D98,'All data'!$E$2:$M$2281,9,0)</f>
        <v>..</v>
      </c>
    </row>
    <row r="99" spans="1:12">
      <c r="A99" s="90" t="str">
        <f t="shared" si="4"/>
        <v/>
      </c>
      <c r="B99" s="43" t="s">
        <v>90</v>
      </c>
      <c r="C99" s="43" t="str">
        <f>VLOOKUP(B99,'country codes'!$A$3:$B$287,2,0)</f>
        <v>LAO</v>
      </c>
      <c r="D99" s="91" t="str">
        <f t="shared" si="5"/>
        <v>2020LAO</v>
      </c>
      <c r="E99" s="43">
        <v>8</v>
      </c>
      <c r="F99" s="59">
        <f>VLOOKUP($D99,'All data'!$E$2:$M$2281,2,0)</f>
        <v>7275.5559999999996</v>
      </c>
      <c r="G99" s="59" t="str">
        <f>VLOOKUP($D99,'All data'!$E$2:$M$2281,4,0)</f>
        <v/>
      </c>
      <c r="H99" s="60">
        <f>VLOOKUP($D99,'All data'!$E$2:$M$2281,5,0)</f>
        <v>5.284390926361084</v>
      </c>
      <c r="I99" s="60">
        <f>VLOOKUP($D99,'All data'!$E$2:$M$2281,6,0)</f>
        <v>2.2257423576368702</v>
      </c>
      <c r="J99" s="92" t="str">
        <f>VLOOKUP($D99,'All data'!$E$2:$M$2281,7,0)</f>
        <v/>
      </c>
      <c r="K99" s="43">
        <f>VLOOKUP($C$5,'All data'!$G$2285:$J$2299,4,0)</f>
        <v>1.55</v>
      </c>
      <c r="L99" s="93" t="str">
        <f>VLOOKUP($D99,'All data'!$E$2:$M$2281,9,0)</f>
        <v>..</v>
      </c>
    </row>
    <row r="100" spans="1:12">
      <c r="A100" s="90" t="str">
        <f t="shared" si="4"/>
        <v/>
      </c>
      <c r="B100" s="43" t="s">
        <v>97</v>
      </c>
      <c r="C100" s="43" t="str">
        <f>VLOOKUP(B100,'country codes'!$A$3:$B$287,2,0)</f>
        <v>LBY</v>
      </c>
      <c r="D100" s="91" t="str">
        <f t="shared" si="5"/>
        <v>2020LBY</v>
      </c>
      <c r="E100" s="43">
        <v>4</v>
      </c>
      <c r="F100" s="59">
        <f>VLOOKUP($D100,'All data'!$E$2:$M$2281,2,0)</f>
        <v>6871.2870000000003</v>
      </c>
      <c r="G100" s="59">
        <f>VLOOKUP($D100,'All data'!$E$2:$M$2281,4,0)</f>
        <v>72.508499082568818</v>
      </c>
      <c r="H100" s="60" t="str">
        <f>VLOOKUP($D100,'All data'!$E$2:$M$2281,5,0)</f>
        <v/>
      </c>
      <c r="I100" s="60" t="str">
        <f>VLOOKUP($D100,'All data'!$E$2:$M$2281,6,0)</f>
        <v/>
      </c>
      <c r="J100" s="92" t="str">
        <f>VLOOKUP($D100,'All data'!$E$2:$M$2281,7,0)</f>
        <v/>
      </c>
      <c r="K100" s="43">
        <f>VLOOKUP($C$5,'All data'!$G$2285:$J$2299,4,0)</f>
        <v>1.55</v>
      </c>
      <c r="L100" s="93" t="str">
        <f>VLOOKUP($D100,'All data'!$E$2:$M$2281,9,0)</f>
        <v>..</v>
      </c>
    </row>
    <row r="101" spans="1:12">
      <c r="A101" s="90">
        <f t="shared" si="4"/>
        <v>40</v>
      </c>
      <c r="B101" s="43" t="s">
        <v>120</v>
      </c>
      <c r="C101" s="43" t="str">
        <f>VLOOKUP(B101,'country codes'!$A$3:$B$287,2,0)</f>
        <v>BEL</v>
      </c>
      <c r="D101" s="91" t="str">
        <f t="shared" si="5"/>
        <v>2020BEL</v>
      </c>
      <c r="E101" s="43">
        <v>3</v>
      </c>
      <c r="F101" s="59">
        <f>VLOOKUP($D101,'All data'!$E$2:$M$2281,2,0)</f>
        <v>11589.616</v>
      </c>
      <c r="G101" s="59">
        <f>VLOOKUP($D101,'All data'!$E$2:$M$2281,4,0)</f>
        <v>80.400000000000006</v>
      </c>
      <c r="H101" s="60">
        <f>VLOOKUP($D101,'All data'!$E$2:$M$2281,5,0)</f>
        <v>6.8387608528137207</v>
      </c>
      <c r="I101" s="60">
        <f>VLOOKUP($D101,'All data'!$E$2:$M$2281,6,0)</f>
        <v>4.9460979207480733</v>
      </c>
      <c r="J101" s="92">
        <f>VLOOKUP($D101,'All data'!$E$2:$M$2281,7,0)</f>
        <v>48.608533359656327</v>
      </c>
      <c r="K101" s="43">
        <f>VLOOKUP($C$5,'All data'!$G$2285:$J$2299,4,0)</f>
        <v>1.55</v>
      </c>
      <c r="L101" s="93" t="str">
        <f>VLOOKUP($D101,'All data'!$E$2:$M$2281,9,0)</f>
        <v>..</v>
      </c>
    </row>
    <row r="102" spans="1:12">
      <c r="A102" s="90" t="str">
        <f t="shared" si="4"/>
        <v/>
      </c>
      <c r="B102" s="43" t="s">
        <v>68</v>
      </c>
      <c r="C102" s="43" t="str">
        <f>VLOOKUP(B102,'country codes'!$A$3:$B$287,2,0)</f>
        <v>COM</v>
      </c>
      <c r="D102" s="91" t="str">
        <f t="shared" si="5"/>
        <v>2020COM</v>
      </c>
      <c r="E102" s="43">
        <v>5</v>
      </c>
      <c r="F102" s="59">
        <f>VLOOKUP($D102,'All data'!$E$2:$M$2281,2,0)</f>
        <v>869.59500000000003</v>
      </c>
      <c r="G102" s="59">
        <f>VLOOKUP($D102,'All data'!$E$2:$M$2281,4,0)</f>
        <v>64.461423853211002</v>
      </c>
      <c r="H102" s="60" t="str">
        <f>VLOOKUP($D102,'All data'!$E$2:$M$2281,5,0)</f>
        <v/>
      </c>
      <c r="I102" s="60" t="str">
        <f>VLOOKUP($D102,'All data'!$E$2:$M$2281,6,0)</f>
        <v/>
      </c>
      <c r="J102" s="92" t="str">
        <f>VLOOKUP($D102,'All data'!$E$2:$M$2281,7,0)</f>
        <v/>
      </c>
      <c r="K102" s="43">
        <f>VLOOKUP($C$5,'All data'!$G$2285:$J$2299,4,0)</f>
        <v>1.55</v>
      </c>
      <c r="L102" s="93" t="str">
        <f>VLOOKUP($D102,'All data'!$E$2:$M$2281,9,0)</f>
        <v>..</v>
      </c>
    </row>
    <row r="103" spans="1:12">
      <c r="A103" s="90">
        <f t="shared" si="4"/>
        <v>49</v>
      </c>
      <c r="B103" s="43" t="s">
        <v>108</v>
      </c>
      <c r="C103" s="43" t="str">
        <f>VLOOKUP(B103,'country codes'!$A$3:$B$287,2,0)</f>
        <v>CHN</v>
      </c>
      <c r="D103" s="91" t="str">
        <f t="shared" si="5"/>
        <v>2020CHN</v>
      </c>
      <c r="E103" s="43">
        <v>8</v>
      </c>
      <c r="F103" s="59">
        <f>VLOOKUP($D103,'All data'!$E$2:$M$2281,2,0)</f>
        <v>1439323.774</v>
      </c>
      <c r="G103" s="59">
        <f>VLOOKUP($D103,'All data'!$E$2:$M$2281,4,0)</f>
        <v>77.100000000000009</v>
      </c>
      <c r="H103" s="60">
        <f>VLOOKUP($D103,'All data'!$E$2:$M$2281,5,0)</f>
        <v>5.7710647583007813</v>
      </c>
      <c r="I103" s="60">
        <f>VLOOKUP($D103,'All data'!$E$2:$M$2281,6,0)</f>
        <v>3.7434258124252788</v>
      </c>
      <c r="J103" s="92">
        <f>VLOOKUP($D103,'All data'!$E$2:$M$2281,7,0)</f>
        <v>45.627483702751412</v>
      </c>
      <c r="K103" s="43">
        <f>VLOOKUP($C$5,'All data'!$G$2285:$J$2299,4,0)</f>
        <v>1.55</v>
      </c>
      <c r="L103" s="93" t="str">
        <f>VLOOKUP($D103,'All data'!$E$2:$M$2281,9,0)</f>
        <v>..</v>
      </c>
    </row>
    <row r="104" spans="1:12">
      <c r="A104" s="90" t="str">
        <f t="shared" si="4"/>
        <v/>
      </c>
      <c r="B104" s="43" t="s">
        <v>112</v>
      </c>
      <c r="C104" s="43" t="str">
        <f>VLOOKUP(B104,'country codes'!$A$3:$B$287,2,0)</f>
        <v>MYS</v>
      </c>
      <c r="D104" s="91" t="str">
        <f t="shared" si="5"/>
        <v>2020MYS</v>
      </c>
      <c r="E104" s="43">
        <v>8</v>
      </c>
      <c r="F104" s="59">
        <f>VLOOKUP($D104,'All data'!$E$2:$M$2281,2,0)</f>
        <v>32365.998</v>
      </c>
      <c r="G104" s="59">
        <f>VLOOKUP($D104,'All data'!$E$2:$M$2281,4,0)</f>
        <v>76.361423853211008</v>
      </c>
      <c r="H104" s="60" t="str">
        <f>VLOOKUP($D104,'All data'!$E$2:$M$2281,5,0)</f>
        <v/>
      </c>
      <c r="I104" s="60">
        <f>VLOOKUP($D104,'All data'!$E$2:$M$2281,6,0)</f>
        <v>3.9218261332082713</v>
      </c>
      <c r="J104" s="92" t="str">
        <f>VLOOKUP($D104,'All data'!$E$2:$M$2281,7,0)</f>
        <v/>
      </c>
      <c r="K104" s="43">
        <f>VLOOKUP($C$5,'All data'!$G$2285:$J$2299,4,0)</f>
        <v>1.55</v>
      </c>
      <c r="L104" s="93" t="str">
        <f>VLOOKUP($D104,'All data'!$E$2:$M$2281,9,0)</f>
        <v>..</v>
      </c>
    </row>
    <row r="105" spans="1:12">
      <c r="A105" s="90">
        <f t="shared" si="4"/>
        <v>51</v>
      </c>
      <c r="B105" s="43" t="s">
        <v>73</v>
      </c>
      <c r="C105" s="43" t="str">
        <f>VLOOKUP(B105,'country codes'!$A$3:$B$287,2,0)</f>
        <v>ETH</v>
      </c>
      <c r="D105" s="91" t="str">
        <f t="shared" si="5"/>
        <v>2020ETH</v>
      </c>
      <c r="E105" s="43">
        <v>5</v>
      </c>
      <c r="F105" s="59">
        <f>VLOOKUP($D105,'All data'!$E$2:$M$2281,2,0)</f>
        <v>114963.583</v>
      </c>
      <c r="G105" s="59">
        <f>VLOOKUP($D105,'All data'!$E$2:$M$2281,4,0)</f>
        <v>66.935706422018328</v>
      </c>
      <c r="H105" s="60">
        <f>VLOOKUP($D105,'All data'!$E$2:$M$2281,5,0)</f>
        <v>4.5492196083068848</v>
      </c>
      <c r="I105" s="60">
        <f>VLOOKUP($D105,'All data'!$E$2:$M$2281,6,0)</f>
        <v>0.90002139214648857</v>
      </c>
      <c r="J105" s="92">
        <f>VLOOKUP($D105,'All data'!$E$2:$M$2281,7,0)</f>
        <v>45.358978166448289</v>
      </c>
      <c r="K105" s="43">
        <f>VLOOKUP($C$5,'All data'!$G$2285:$J$2299,4,0)</f>
        <v>1.55</v>
      </c>
      <c r="L105" s="93" t="str">
        <f>VLOOKUP($D105,'All data'!$E$2:$M$2281,9,0)</f>
        <v>..</v>
      </c>
    </row>
    <row r="106" spans="1:12">
      <c r="A106" s="90">
        <f t="shared" ref="A106:A137" si="6">IFERROR(RANK(J106,$J$10:$J$161),"")</f>
        <v>69</v>
      </c>
      <c r="B106" s="43" t="s">
        <v>121</v>
      </c>
      <c r="C106" s="43" t="str">
        <f>VLOOKUP(B106,'country codes'!$A$3:$B$287,2,0)</f>
        <v>SAU</v>
      </c>
      <c r="D106" s="91" t="str">
        <f t="shared" ref="D106:D137" si="7">$C$5&amp;C106</f>
        <v>2020SAU</v>
      </c>
      <c r="E106" s="43">
        <v>4</v>
      </c>
      <c r="F106" s="59">
        <f>VLOOKUP($D106,'All data'!$E$2:$M$2281,2,0)</f>
        <v>34813.866999999998</v>
      </c>
      <c r="G106" s="59">
        <f>VLOOKUP($D106,'All data'!$E$2:$M$2281,4,0)</f>
        <v>74.608499082568798</v>
      </c>
      <c r="H106" s="60">
        <f>VLOOKUP($D106,'All data'!$E$2:$M$2281,5,0)</f>
        <v>6.5595884323120117</v>
      </c>
      <c r="I106" s="60">
        <f>VLOOKUP($D106,'All data'!$E$2:$M$2281,6,0)</f>
        <v>5.3095685790185003</v>
      </c>
      <c r="J106" s="92">
        <f>VLOOKUP($D106,'All data'!$E$2:$M$2281,7,0)</f>
        <v>41.97867414453308</v>
      </c>
      <c r="K106" s="43">
        <f>VLOOKUP($C$5,'All data'!$G$2285:$J$2299,4,0)</f>
        <v>1.55</v>
      </c>
      <c r="L106" s="93" t="str">
        <f>VLOOKUP($D106,'All data'!$E$2:$M$2281,9,0)</f>
        <v>..</v>
      </c>
    </row>
    <row r="107" spans="1:12">
      <c r="A107" s="90" t="str">
        <f t="shared" si="6"/>
        <v/>
      </c>
      <c r="B107" s="43" t="s">
        <v>80</v>
      </c>
      <c r="C107" s="43" t="str">
        <f>VLOOKUP(B107,'country codes'!$A$3:$B$287,2,0)</f>
        <v>BFA</v>
      </c>
      <c r="D107" s="91" t="str">
        <f t="shared" si="7"/>
        <v>2020BFA</v>
      </c>
      <c r="E107" s="43">
        <v>5</v>
      </c>
      <c r="F107" s="59">
        <f>VLOOKUP($D107,'All data'!$E$2:$M$2281,2,0)</f>
        <v>20903.277999999998</v>
      </c>
      <c r="G107" s="59">
        <f>VLOOKUP($D107,'All data'!$E$2:$M$2281,4,0)</f>
        <v>61.98714128440367</v>
      </c>
      <c r="H107" s="60" t="str">
        <f>VLOOKUP($D107,'All data'!$E$2:$M$2281,5,0)</f>
        <v/>
      </c>
      <c r="I107" s="60" t="str">
        <f>VLOOKUP($D107,'All data'!$E$2:$M$2281,6,0)</f>
        <v/>
      </c>
      <c r="J107" s="92" t="str">
        <f>VLOOKUP($D107,'All data'!$E$2:$M$2281,7,0)</f>
        <v/>
      </c>
      <c r="K107" s="43">
        <f>VLOOKUP($C$5,'All data'!$G$2285:$J$2299,4,0)</f>
        <v>1.55</v>
      </c>
      <c r="L107" s="93" t="str">
        <f>VLOOKUP($D107,'All data'!$E$2:$M$2281,9,0)</f>
        <v>..</v>
      </c>
    </row>
    <row r="108" spans="1:12">
      <c r="A108" s="90">
        <f t="shared" si="6"/>
        <v>81</v>
      </c>
      <c r="B108" s="43" t="s">
        <v>89</v>
      </c>
      <c r="C108" s="43" t="str">
        <f>VLOOKUP(B108,'country codes'!$A$3:$B$287,2,0)</f>
        <v>BEN</v>
      </c>
      <c r="D108" s="91" t="str">
        <f t="shared" si="7"/>
        <v>2020BEN</v>
      </c>
      <c r="E108" s="43">
        <v>5</v>
      </c>
      <c r="F108" s="59">
        <f>VLOOKUP($D108,'All data'!$E$2:$M$2281,2,0)</f>
        <v>12123.198</v>
      </c>
      <c r="G108" s="59">
        <f>VLOOKUP($D108,'All data'!$E$2:$M$2281,4,0)</f>
        <v>62.087141284403664</v>
      </c>
      <c r="H108" s="60">
        <f>VLOOKUP($D108,'All data'!$E$2:$M$2281,5,0)</f>
        <v>4.4077458381652832</v>
      </c>
      <c r="I108" s="60">
        <f>VLOOKUP($D108,'All data'!$E$2:$M$2281,6,0)</f>
        <v>1.3289559313566921</v>
      </c>
      <c r="J108" s="92">
        <f>VLOOKUP($D108,'All data'!$E$2:$M$2281,7,0)</f>
        <v>38.322451903351642</v>
      </c>
      <c r="K108" s="43">
        <f>VLOOKUP($C$5,'All data'!$G$2285:$J$2299,4,0)</f>
        <v>1.55</v>
      </c>
      <c r="L108" s="93" t="str">
        <f>VLOOKUP($D108,'All data'!$E$2:$M$2281,9,0)</f>
        <v>..</v>
      </c>
    </row>
    <row r="109" spans="1:12">
      <c r="A109" s="90" t="str">
        <f t="shared" si="6"/>
        <v/>
      </c>
      <c r="B109" s="43" t="s">
        <v>91</v>
      </c>
      <c r="C109" s="43" t="str">
        <f>VLOOKUP(B109,'country codes'!$A$3:$B$287,2,0)</f>
        <v>NER</v>
      </c>
      <c r="D109" s="91" t="str">
        <f t="shared" si="7"/>
        <v>2020NER</v>
      </c>
      <c r="E109" s="43">
        <v>5</v>
      </c>
      <c r="F109" s="59">
        <f>VLOOKUP($D109,'All data'!$E$2:$M$2281,2,0)</f>
        <v>24206.635999999999</v>
      </c>
      <c r="G109" s="59">
        <f>VLOOKUP($D109,'All data'!$E$2:$M$2281,4,0)</f>
        <v>62.787141284403667</v>
      </c>
      <c r="H109" s="60" t="str">
        <f>VLOOKUP($D109,'All data'!$E$2:$M$2281,5,0)</f>
        <v/>
      </c>
      <c r="I109" s="60" t="str">
        <f>VLOOKUP($D109,'All data'!$E$2:$M$2281,6,0)</f>
        <v/>
      </c>
      <c r="J109" s="92" t="str">
        <f>VLOOKUP($D109,'All data'!$E$2:$M$2281,7,0)</f>
        <v/>
      </c>
      <c r="K109" s="43">
        <f>VLOOKUP($C$5,'All data'!$G$2285:$J$2299,4,0)</f>
        <v>1.55</v>
      </c>
      <c r="L109" s="93" t="str">
        <f>VLOOKUP($D109,'All data'!$E$2:$M$2281,9,0)</f>
        <v>..</v>
      </c>
    </row>
    <row r="110" spans="1:12">
      <c r="A110" s="90">
        <f t="shared" si="6"/>
        <v>61</v>
      </c>
      <c r="B110" s="43" t="s">
        <v>116</v>
      </c>
      <c r="C110" s="43" t="str">
        <f>VLOOKUP(B110,'country codes'!$A$3:$B$287,2,0)</f>
        <v>MNE</v>
      </c>
      <c r="D110" s="91" t="str">
        <f t="shared" si="7"/>
        <v>2020MNE</v>
      </c>
      <c r="E110" s="43">
        <v>7</v>
      </c>
      <c r="F110" s="59">
        <f>VLOOKUP($D110,'All data'!$E$2:$M$2281,2,0)</f>
        <v>628.06200000000001</v>
      </c>
      <c r="G110" s="59">
        <f>VLOOKUP($D110,'All data'!$E$2:$M$2281,4,0)</f>
        <v>75.701269724770654</v>
      </c>
      <c r="H110" s="60">
        <f>VLOOKUP($D110,'All data'!$E$2:$M$2281,5,0)</f>
        <v>5.7221627235412598</v>
      </c>
      <c r="I110" s="60">
        <f>VLOOKUP($D110,'All data'!$E$2:$M$2281,6,0)</f>
        <v>3.7697672091416408</v>
      </c>
      <c r="J110" s="92">
        <f>VLOOKUP($D110,'All data'!$E$2:$M$2281,7,0)</f>
        <v>44.300424041742417</v>
      </c>
      <c r="K110" s="43">
        <f>VLOOKUP($C$5,'All data'!$G$2285:$J$2299,4,0)</f>
        <v>1.55</v>
      </c>
      <c r="L110" s="93" t="str">
        <f>VLOOKUP($D110,'All data'!$E$2:$M$2281,9,0)</f>
        <v>..</v>
      </c>
    </row>
    <row r="111" spans="1:12">
      <c r="A111" s="90">
        <f t="shared" si="6"/>
        <v>71</v>
      </c>
      <c r="B111" s="43" t="s">
        <v>111</v>
      </c>
      <c r="C111" s="43" t="str">
        <f>VLOOKUP(B111,'country codes'!$A$3:$B$287,2,0)</f>
        <v>TUR</v>
      </c>
      <c r="D111" s="91" t="str">
        <f t="shared" si="7"/>
        <v>2020TUR</v>
      </c>
      <c r="E111" s="43">
        <v>4</v>
      </c>
      <c r="F111" s="59">
        <f>VLOOKUP($D111,'All data'!$E$2:$M$2281,2,0)</f>
        <v>84339.066999999995</v>
      </c>
      <c r="G111" s="59">
        <f>VLOOKUP($D111,'All data'!$E$2:$M$2281,4,0)</f>
        <v>77.40849908256881</v>
      </c>
      <c r="H111" s="60">
        <f>VLOOKUP($D111,'All data'!$E$2:$M$2281,5,0)</f>
        <v>4.8615541458129883</v>
      </c>
      <c r="I111" s="60">
        <f>VLOOKUP($D111,'All data'!$E$2:$M$2281,6,0)</f>
        <v>3.4286489689302151</v>
      </c>
      <c r="J111" s="92">
        <f>VLOOKUP($D111,'All data'!$E$2:$M$2281,7,0)</f>
        <v>41.74899232825075</v>
      </c>
      <c r="K111" s="43">
        <f>VLOOKUP($C$5,'All data'!$G$2285:$J$2299,4,0)</f>
        <v>1.55</v>
      </c>
      <c r="L111" s="93" t="str">
        <f>VLOOKUP($D111,'All data'!$E$2:$M$2281,9,0)</f>
        <v>..</v>
      </c>
    </row>
    <row r="112" spans="1:12">
      <c r="A112" s="90">
        <f t="shared" si="6"/>
        <v>58</v>
      </c>
      <c r="B112" s="43" t="s">
        <v>107</v>
      </c>
      <c r="C112" s="43" t="str">
        <f>VLOOKUP(B112,'country codes'!$A$3:$B$287,2,0)</f>
        <v>UKR</v>
      </c>
      <c r="D112" s="91" t="str">
        <f t="shared" si="7"/>
        <v>2020UKR</v>
      </c>
      <c r="E112" s="43">
        <v>7</v>
      </c>
      <c r="F112" s="59">
        <f>VLOOKUP($D112,'All data'!$E$2:$M$2281,2,0)</f>
        <v>43733.758999999998</v>
      </c>
      <c r="G112" s="59">
        <f>VLOOKUP($D112,'All data'!$E$2:$M$2281,4,0)</f>
        <v>71.801379816513744</v>
      </c>
      <c r="H112" s="60">
        <f>VLOOKUP($D112,'All data'!$E$2:$M$2281,5,0)</f>
        <v>5.2696757316589355</v>
      </c>
      <c r="I112" s="60">
        <f>VLOOKUP($D112,'All data'!$E$2:$M$2281,6,0)</f>
        <v>2.5608881186629135</v>
      </c>
      <c r="J112" s="92">
        <f>VLOOKUP($D112,'All data'!$E$2:$M$2281,7,0)</f>
        <v>44.55901545763161</v>
      </c>
      <c r="K112" s="43">
        <f>VLOOKUP($C$5,'All data'!$G$2285:$J$2299,4,0)</f>
        <v>1.55</v>
      </c>
      <c r="L112" s="93" t="str">
        <f>VLOOKUP($D112,'All data'!$E$2:$M$2281,9,0)</f>
        <v>..</v>
      </c>
    </row>
    <row r="113" spans="1:12">
      <c r="A113" s="90" t="str">
        <f t="shared" si="6"/>
        <v/>
      </c>
      <c r="B113" s="43" t="s">
        <v>82</v>
      </c>
      <c r="C113" s="43" t="str">
        <f>VLOOKUP(B113,'country codes'!$A$3:$B$287,2,0)</f>
        <v>COD</v>
      </c>
      <c r="D113" s="91" t="str">
        <f t="shared" si="7"/>
        <v>2020COD</v>
      </c>
      <c r="E113" s="43">
        <v>5</v>
      </c>
      <c r="F113" s="59">
        <f>VLOOKUP($D113,'All data'!$E$2:$M$2281,2,0)</f>
        <v>89561.403999999995</v>
      </c>
      <c r="G113" s="59">
        <f>VLOOKUP($D113,'All data'!$E$2:$M$2281,4,0)</f>
        <v>60.974282568807347</v>
      </c>
      <c r="H113" s="60" t="str">
        <f>VLOOKUP($D113,'All data'!$E$2:$M$2281,5,0)</f>
        <v/>
      </c>
      <c r="I113" s="60" t="str">
        <f>VLOOKUP($D113,'All data'!$E$2:$M$2281,6,0)</f>
        <v/>
      </c>
      <c r="J113" s="92" t="str">
        <f>VLOOKUP($D113,'All data'!$E$2:$M$2281,7,0)</f>
        <v/>
      </c>
      <c r="K113" s="43">
        <f>VLOOKUP($C$5,'All data'!$G$2285:$J$2299,4,0)</f>
        <v>1.55</v>
      </c>
      <c r="L113" s="93" t="str">
        <f>VLOOKUP($D113,'All data'!$E$2:$M$2281,9,0)</f>
        <v>..</v>
      </c>
    </row>
    <row r="114" spans="1:12">
      <c r="A114" s="90">
        <f t="shared" si="6"/>
        <v>68</v>
      </c>
      <c r="B114" s="43" t="s">
        <v>130</v>
      </c>
      <c r="C114" s="43" t="str">
        <f>VLOOKUP(B114,'country codes'!$A$3:$B$287,2,0)</f>
        <v>CAN</v>
      </c>
      <c r="D114" s="91" t="str">
        <f t="shared" si="7"/>
        <v>2020CAN</v>
      </c>
      <c r="E114" s="43">
        <v>2</v>
      </c>
      <c r="F114" s="59">
        <f>VLOOKUP($D114,'All data'!$E$2:$M$2281,2,0)</f>
        <v>37742.156999999999</v>
      </c>
      <c r="G114" s="59">
        <f>VLOOKUP($D114,'All data'!$E$2:$M$2281,4,0)</f>
        <v>81.792770642201845</v>
      </c>
      <c r="H114" s="60">
        <f>VLOOKUP($D114,'All data'!$E$2:$M$2281,5,0)</f>
        <v>7.024904727935791</v>
      </c>
      <c r="I114" s="60">
        <f>VLOOKUP($D114,'All data'!$E$2:$M$2281,6,0)</f>
        <v>7.2476829640880291</v>
      </c>
      <c r="J114" s="92">
        <f>VLOOKUP($D114,'All data'!$E$2:$M$2281,7,0)</f>
        <v>42.038925073663293</v>
      </c>
      <c r="K114" s="43">
        <f>VLOOKUP($C$5,'All data'!$G$2285:$J$2299,4,0)</f>
        <v>1.55</v>
      </c>
      <c r="L114" s="93" t="str">
        <f>VLOOKUP($D114,'All data'!$E$2:$M$2281,9,0)</f>
        <v>..</v>
      </c>
    </row>
    <row r="115" spans="1:12">
      <c r="A115" s="90">
        <f t="shared" si="6"/>
        <v>64</v>
      </c>
      <c r="B115" s="43" t="s">
        <v>122</v>
      </c>
      <c r="C115" s="43" t="str">
        <f>VLOOKUP(B115,'country codes'!$A$3:$B$287,2,0)</f>
        <v>BGR</v>
      </c>
      <c r="D115" s="91" t="str">
        <f t="shared" si="7"/>
        <v>2020BGR</v>
      </c>
      <c r="E115" s="43">
        <v>7</v>
      </c>
      <c r="F115" s="59">
        <f>VLOOKUP($D115,'All data'!$E$2:$M$2281,2,0)</f>
        <v>6948.4449999999997</v>
      </c>
      <c r="G115" s="59">
        <f>VLOOKUP($D115,'All data'!$E$2:$M$2281,4,0)</f>
        <v>73.5</v>
      </c>
      <c r="H115" s="60">
        <f>VLOOKUP($D115,'All data'!$E$2:$M$2281,5,0)</f>
        <v>5.5977230072021484</v>
      </c>
      <c r="I115" s="60">
        <f>VLOOKUP($D115,'All data'!$E$2:$M$2281,6,0)</f>
        <v>3.4138198602935139</v>
      </c>
      <c r="J115" s="92">
        <f>VLOOKUP($D115,'All data'!$E$2:$M$2281,7,0)</f>
        <v>43.684355292429395</v>
      </c>
      <c r="K115" s="43">
        <f>VLOOKUP($C$5,'All data'!$G$2285:$J$2299,4,0)</f>
        <v>1.55</v>
      </c>
      <c r="L115" s="93" t="str">
        <f>VLOOKUP($D115,'All data'!$E$2:$M$2281,9,0)</f>
        <v>..</v>
      </c>
    </row>
    <row r="116" spans="1:12">
      <c r="A116" s="90">
        <f t="shared" si="6"/>
        <v>75</v>
      </c>
      <c r="B116" s="43" t="s">
        <v>102</v>
      </c>
      <c r="C116" s="43" t="str">
        <f>VLOOKUP(B116,'country codes'!$A$3:$B$287,2,0)</f>
        <v>MMR</v>
      </c>
      <c r="D116" s="91" t="str">
        <f t="shared" si="7"/>
        <v>2020MMR</v>
      </c>
      <c r="E116" s="43">
        <v>8</v>
      </c>
      <c r="F116" s="59">
        <f>VLOOKUP($D116,'All data'!$E$2:$M$2281,2,0)</f>
        <v>54409.794000000002</v>
      </c>
      <c r="G116" s="59">
        <f>VLOOKUP($D116,'All data'!$E$2:$M$2281,4,0)</f>
        <v>67.209988990825664</v>
      </c>
      <c r="H116" s="60">
        <f>VLOOKUP($D116,'All data'!$E$2:$M$2281,5,0)</f>
        <v>4.4313640594482422</v>
      </c>
      <c r="I116" s="60">
        <f>VLOOKUP($D116,'All data'!$E$2:$M$2281,6,0)</f>
        <v>1.7196242542378066</v>
      </c>
      <c r="J116" s="92">
        <f>VLOOKUP($D116,'All data'!$E$2:$M$2281,7,0)</f>
        <v>40.211678472341688</v>
      </c>
      <c r="K116" s="43">
        <f>VLOOKUP($C$5,'All data'!$G$2285:$J$2299,4,0)</f>
        <v>1.55</v>
      </c>
      <c r="L116" s="93" t="str">
        <f>VLOOKUP($D116,'All data'!$E$2:$M$2281,9,0)</f>
        <v>..</v>
      </c>
    </row>
    <row r="117" spans="1:12">
      <c r="A117" s="90">
        <f t="shared" si="6"/>
        <v>66</v>
      </c>
      <c r="B117" s="43" t="s">
        <v>96</v>
      </c>
      <c r="C117" s="43" t="str">
        <f>VLOOKUP(B117,'country codes'!$A$3:$B$287,2,0)</f>
        <v>CMR</v>
      </c>
      <c r="D117" s="91" t="str">
        <f t="shared" si="7"/>
        <v>2020CMR</v>
      </c>
      <c r="E117" s="43">
        <v>5</v>
      </c>
      <c r="F117" s="59">
        <f>VLOOKUP($D117,'All data'!$E$2:$M$2281,2,0)</f>
        <v>26545.864000000001</v>
      </c>
      <c r="G117" s="59">
        <f>VLOOKUP($D117,'All data'!$E$2:$M$2281,4,0)</f>
        <v>59.648565137614675</v>
      </c>
      <c r="H117" s="60">
        <f>VLOOKUP($D117,'All data'!$E$2:$M$2281,5,0)</f>
        <v>5.2410778999328613</v>
      </c>
      <c r="I117" s="60">
        <f>VLOOKUP($D117,'All data'!$E$2:$M$2281,6,0)</f>
        <v>1.1996453453896596</v>
      </c>
      <c r="J117" s="92">
        <f>VLOOKUP($D117,'All data'!$E$2:$M$2281,7,0)</f>
        <v>42.225254962354136</v>
      </c>
      <c r="K117" s="43">
        <f>VLOOKUP($C$5,'All data'!$G$2285:$J$2299,4,0)</f>
        <v>1.55</v>
      </c>
      <c r="L117" s="93" t="str">
        <f>VLOOKUP($D117,'All data'!$E$2:$M$2281,9,0)</f>
        <v>..</v>
      </c>
    </row>
    <row r="118" spans="1:12">
      <c r="A118" s="90" t="str">
        <f t="shared" si="6"/>
        <v/>
      </c>
      <c r="B118" s="43" t="s">
        <v>109</v>
      </c>
      <c r="C118" s="43" t="str">
        <f>VLOOKUP(B118,'country codes'!$A$3:$B$287,2,0)</f>
        <v>GAB</v>
      </c>
      <c r="D118" s="91" t="str">
        <f t="shared" si="7"/>
        <v>2020GAB</v>
      </c>
      <c r="E118" s="43">
        <v>5</v>
      </c>
      <c r="F118" s="59">
        <f>VLOOKUP($D118,'All data'!$E$2:$M$2281,2,0)</f>
        <v>2225.7280000000001</v>
      </c>
      <c r="G118" s="59">
        <f>VLOOKUP($D118,'All data'!$E$2:$M$2281,4,0)</f>
        <v>66.722847706422016</v>
      </c>
      <c r="H118" s="60" t="str">
        <f>VLOOKUP($D118,'All data'!$E$2:$M$2281,5,0)</f>
        <v/>
      </c>
      <c r="I118" s="60" t="str">
        <f>VLOOKUP($D118,'All data'!$E$2:$M$2281,6,0)</f>
        <v/>
      </c>
      <c r="J118" s="92" t="str">
        <f>VLOOKUP($D118,'All data'!$E$2:$M$2281,7,0)</f>
        <v/>
      </c>
      <c r="K118" s="43">
        <f>VLOOKUP($C$5,'All data'!$G$2285:$J$2299,4,0)</f>
        <v>1.55</v>
      </c>
      <c r="L118" s="93" t="str">
        <f>VLOOKUP($D118,'All data'!$E$2:$M$2281,9,0)</f>
        <v>..</v>
      </c>
    </row>
    <row r="119" spans="1:12">
      <c r="A119" s="90">
        <f t="shared" si="6"/>
        <v>74</v>
      </c>
      <c r="B119" s="94" t="s">
        <v>127</v>
      </c>
      <c r="C119" s="43" t="str">
        <f>VLOOKUP(B119,'country codes'!$A$3:$B$287,2,0)</f>
        <v>KOR</v>
      </c>
      <c r="D119" s="91" t="str">
        <f t="shared" si="7"/>
        <v>2020KOR</v>
      </c>
      <c r="E119" s="43">
        <v>8</v>
      </c>
      <c r="F119" s="59">
        <f>VLOOKUP($D119,'All data'!$E$2:$M$2281,2,0)</f>
        <v>51269.182999999997</v>
      </c>
      <c r="G119" s="59">
        <f>VLOOKUP($D119,'All data'!$E$2:$M$2281,4,0)</f>
        <v>83.161423853211005</v>
      </c>
      <c r="H119" s="60">
        <f>VLOOKUP($D119,'All data'!$E$2:$M$2281,5,0)</f>
        <v>5.7926955223083496</v>
      </c>
      <c r="I119" s="60">
        <f>VLOOKUP($D119,'All data'!$E$2:$M$2281,6,0)</f>
        <v>5.9364387294218295</v>
      </c>
      <c r="J119" s="92">
        <f>VLOOKUP($D119,'All data'!$E$2:$M$2281,7,0)</f>
        <v>40.929446070235137</v>
      </c>
      <c r="K119" s="43">
        <f>VLOOKUP($C$5,'All data'!$G$2285:$J$2299,4,0)</f>
        <v>1.55</v>
      </c>
      <c r="L119" s="93" t="str">
        <f>VLOOKUP($D119,'All data'!$E$2:$M$2281,9,0)</f>
        <v>..</v>
      </c>
    </row>
    <row r="120" spans="1:12">
      <c r="A120" s="90">
        <f t="shared" si="6"/>
        <v>77</v>
      </c>
      <c r="B120" s="43" t="s">
        <v>104</v>
      </c>
      <c r="C120" s="43" t="str">
        <f>VLOOKUP(B120,'country codes'!$A$3:$B$287,2,0)</f>
        <v>CIV</v>
      </c>
      <c r="D120" s="91" t="str">
        <f t="shared" si="7"/>
        <v>2020CIV</v>
      </c>
      <c r="E120" s="43">
        <v>5</v>
      </c>
      <c r="F120" s="59">
        <f>VLOOKUP($D120,'All data'!$E$2:$M$2281,2,0)</f>
        <v>26378.275000000001</v>
      </c>
      <c r="G120" s="59">
        <f>VLOOKUP($D120,'All data'!$E$2:$M$2281,4,0)</f>
        <v>58.187141284403666</v>
      </c>
      <c r="H120" s="60">
        <f>VLOOKUP($D120,'All data'!$E$2:$M$2281,5,0)</f>
        <v>5.2565035820007324</v>
      </c>
      <c r="I120" s="60">
        <f>VLOOKUP($D120,'All data'!$E$2:$M$2281,6,0)</f>
        <v>1.5277922442616205</v>
      </c>
      <c r="J120" s="92">
        <f>VLOOKUP($D120,'All data'!$E$2:$M$2281,7,0)</f>
        <v>39.395687764857371</v>
      </c>
      <c r="K120" s="43">
        <f>VLOOKUP($C$5,'All data'!$G$2285:$J$2299,4,0)</f>
        <v>1.55</v>
      </c>
      <c r="L120" s="93" t="str">
        <f>VLOOKUP($D120,'All data'!$E$2:$M$2281,9,0)</f>
        <v>..</v>
      </c>
    </row>
    <row r="121" spans="1:12">
      <c r="A121" s="90" t="str">
        <f t="shared" si="6"/>
        <v/>
      </c>
      <c r="B121" s="43" t="s">
        <v>99</v>
      </c>
      <c r="C121" s="43" t="str">
        <f>VLOOKUP(B121,'country codes'!$A$3:$B$287,2,0)</f>
        <v>SDN</v>
      </c>
      <c r="D121" s="91" t="str">
        <f t="shared" si="7"/>
        <v>2020SDN</v>
      </c>
      <c r="E121" s="43">
        <v>5</v>
      </c>
      <c r="F121" s="59">
        <f>VLOOKUP($D121,'All data'!$E$2:$M$2281,2,0)</f>
        <v>43849.269</v>
      </c>
      <c r="G121" s="59">
        <f>VLOOKUP($D121,'All data'!$E$2:$M$2281,4,0)</f>
        <v>65.384271559633021</v>
      </c>
      <c r="H121" s="60" t="str">
        <f>VLOOKUP($D121,'All data'!$E$2:$M$2281,5,0)</f>
        <v/>
      </c>
      <c r="I121" s="60" t="str">
        <f>VLOOKUP($D121,'All data'!$E$2:$M$2281,6,0)</f>
        <v/>
      </c>
      <c r="J121" s="92" t="str">
        <f>VLOOKUP($D121,'All data'!$E$2:$M$2281,7,0)</f>
        <v/>
      </c>
      <c r="K121" s="43">
        <f>VLOOKUP($C$5,'All data'!$G$2285:$J$2299,4,0)</f>
        <v>1.55</v>
      </c>
      <c r="L121" s="93" t="str">
        <f>VLOOKUP($D121,'All data'!$E$2:$M$2281,9,0)</f>
        <v>..</v>
      </c>
    </row>
    <row r="122" spans="1:12">
      <c r="A122" s="90">
        <f t="shared" si="6"/>
        <v>67</v>
      </c>
      <c r="B122" s="43" t="s">
        <v>110</v>
      </c>
      <c r="C122" s="43" t="str">
        <f>VLOOKUP(B122,'country codes'!$A$3:$B$287,2,0)</f>
        <v>GHA</v>
      </c>
      <c r="D122" s="91" t="str">
        <f t="shared" si="7"/>
        <v>2020GHA</v>
      </c>
      <c r="E122" s="43">
        <v>5</v>
      </c>
      <c r="F122" s="59">
        <f>VLOOKUP($D122,'All data'!$E$2:$M$2281,2,0)</f>
        <v>31072.945</v>
      </c>
      <c r="G122" s="59">
        <f>VLOOKUP($D122,'All data'!$E$2:$M$2281,4,0)</f>
        <v>64.374282568807331</v>
      </c>
      <c r="H122" s="60">
        <f>VLOOKUP($D122,'All data'!$E$2:$M$2281,5,0)</f>
        <v>5.3194832801818848</v>
      </c>
      <c r="I122" s="60">
        <f>VLOOKUP($D122,'All data'!$E$2:$M$2281,6,0)</f>
        <v>2.0076283251685423</v>
      </c>
      <c r="J122" s="92">
        <f>VLOOKUP($D122,'All data'!$E$2:$M$2281,7,0)</f>
        <v>42.182670979622721</v>
      </c>
      <c r="K122" s="43">
        <f>VLOOKUP($C$5,'All data'!$G$2285:$J$2299,4,0)</f>
        <v>1.55</v>
      </c>
      <c r="L122" s="93" t="str">
        <f>VLOOKUP($D122,'All data'!$E$2:$M$2281,9,0)</f>
        <v>..</v>
      </c>
    </row>
    <row r="123" spans="1:12">
      <c r="A123" s="90" t="str">
        <f t="shared" si="6"/>
        <v/>
      </c>
      <c r="B123" s="43" t="s">
        <v>105</v>
      </c>
      <c r="C123" s="43" t="str">
        <f>VLOOKUP(B123,'country codes'!$A$3:$B$287,2,0)</f>
        <v>MLI</v>
      </c>
      <c r="D123" s="91" t="str">
        <f t="shared" si="7"/>
        <v>2020MLI</v>
      </c>
      <c r="E123" s="43">
        <v>5</v>
      </c>
      <c r="F123" s="59">
        <f>VLOOKUP($D123,'All data'!$E$2:$M$2281,2,0)</f>
        <v>20250.833999999999</v>
      </c>
      <c r="G123" s="59">
        <f>VLOOKUP($D123,'All data'!$E$2:$M$2281,4,0)</f>
        <v>59.661423853211005</v>
      </c>
      <c r="H123" s="60" t="str">
        <f>VLOOKUP($D123,'All data'!$E$2:$M$2281,5,0)</f>
        <v/>
      </c>
      <c r="I123" s="60" t="str">
        <f>VLOOKUP($D123,'All data'!$E$2:$M$2281,6,0)</f>
        <v/>
      </c>
      <c r="J123" s="92" t="str">
        <f>VLOOKUP($D123,'All data'!$E$2:$M$2281,7,0)</f>
        <v/>
      </c>
      <c r="K123" s="43">
        <f>VLOOKUP($C$5,'All data'!$G$2285:$J$2299,4,0)</f>
        <v>1.55</v>
      </c>
      <c r="L123" s="93" t="str">
        <f>VLOOKUP($D123,'All data'!$E$2:$M$2281,9,0)</f>
        <v>..</v>
      </c>
    </row>
    <row r="124" spans="1:12">
      <c r="A124" s="90" t="str">
        <f t="shared" si="6"/>
        <v/>
      </c>
      <c r="B124" s="43" t="s">
        <v>93</v>
      </c>
      <c r="C124" s="43" t="str">
        <f>VLOOKUP(B124,'country codes'!$A$3:$B$287,2,0)</f>
        <v>RWA</v>
      </c>
      <c r="D124" s="91" t="str">
        <f t="shared" si="7"/>
        <v>2020RWA</v>
      </c>
      <c r="E124" s="43">
        <v>5</v>
      </c>
      <c r="F124" s="59">
        <f>VLOOKUP($D124,'All data'!$E$2:$M$2281,2,0)</f>
        <v>12952.209000000001</v>
      </c>
      <c r="G124" s="59">
        <f>VLOOKUP($D124,'All data'!$E$2:$M$2281,4,0)</f>
        <v>69.274282568807337</v>
      </c>
      <c r="H124" s="60" t="str">
        <f>VLOOKUP($D124,'All data'!$E$2:$M$2281,5,0)</f>
        <v/>
      </c>
      <c r="I124" s="60" t="str">
        <f>VLOOKUP($D124,'All data'!$E$2:$M$2281,6,0)</f>
        <v/>
      </c>
      <c r="J124" s="92" t="str">
        <f>VLOOKUP($D124,'All data'!$E$2:$M$2281,7,0)</f>
        <v/>
      </c>
      <c r="K124" s="43">
        <f>VLOOKUP($C$5,'All data'!$G$2285:$J$2299,4,0)</f>
        <v>1.55</v>
      </c>
      <c r="L124" s="93" t="str">
        <f>VLOOKUP($D124,'All data'!$E$2:$M$2281,9,0)</f>
        <v>..</v>
      </c>
    </row>
    <row r="125" spans="1:12">
      <c r="A125" s="90" t="str">
        <f t="shared" si="6"/>
        <v/>
      </c>
      <c r="B125" s="43" t="s">
        <v>123</v>
      </c>
      <c r="C125" s="43" t="str">
        <f>VLOOKUP(B125,'country codes'!$A$3:$B$287,2,0)</f>
        <v>LBN</v>
      </c>
      <c r="D125" s="91" t="str">
        <f t="shared" si="7"/>
        <v>2020LBN</v>
      </c>
      <c r="E125" s="43">
        <v>4</v>
      </c>
      <c r="F125" s="59">
        <f>VLOOKUP($D125,'All data'!$E$2:$M$2281,2,0)</f>
        <v>6825.442</v>
      </c>
      <c r="G125" s="59">
        <f>VLOOKUP($D125,'All data'!$E$2:$M$2281,4,0)</f>
        <v>78.295640366972478</v>
      </c>
      <c r="H125" s="60" t="str">
        <f>VLOOKUP($D125,'All data'!$E$2:$M$2281,5,0)</f>
        <v/>
      </c>
      <c r="I125" s="60" t="str">
        <f>VLOOKUP($D125,'All data'!$E$2:$M$2281,6,0)</f>
        <v/>
      </c>
      <c r="J125" s="92" t="str">
        <f>VLOOKUP($D125,'All data'!$E$2:$M$2281,7,0)</f>
        <v/>
      </c>
      <c r="K125" s="43">
        <f>VLOOKUP($C$5,'All data'!$G$2285:$J$2299,4,0)</f>
        <v>1.55</v>
      </c>
      <c r="L125" s="93" t="str">
        <f>VLOOKUP($D125,'All data'!$E$2:$M$2281,9,0)</f>
        <v>..</v>
      </c>
    </row>
    <row r="126" spans="1:12">
      <c r="A126" s="90" t="str">
        <f t="shared" si="6"/>
        <v/>
      </c>
      <c r="B126" s="43" t="s">
        <v>100</v>
      </c>
      <c r="C126" s="43" t="str">
        <f>VLOOKUP(B126,'country codes'!$A$3:$B$287,2,0)</f>
        <v>MWI</v>
      </c>
      <c r="D126" s="91" t="str">
        <f t="shared" si="7"/>
        <v>2020MWI</v>
      </c>
      <c r="E126" s="43">
        <v>5</v>
      </c>
      <c r="F126" s="59">
        <f>VLOOKUP($D126,'All data'!$E$2:$M$2281,2,0)</f>
        <v>19129.955000000002</v>
      </c>
      <c r="G126" s="59">
        <f>VLOOKUP($D126,'All data'!$E$2:$M$2281,4,0)</f>
        <v>64.761423853210999</v>
      </c>
      <c r="H126" s="60" t="str">
        <f>VLOOKUP($D126,'All data'!$E$2:$M$2281,5,0)</f>
        <v/>
      </c>
      <c r="I126" s="60" t="str">
        <f>VLOOKUP($D126,'All data'!$E$2:$M$2281,6,0)</f>
        <v/>
      </c>
      <c r="J126" s="92" t="str">
        <f>VLOOKUP($D126,'All data'!$E$2:$M$2281,7,0)</f>
        <v/>
      </c>
      <c r="K126" s="43">
        <f>VLOOKUP($C$5,'All data'!$G$2285:$J$2299,4,0)</f>
        <v>1.55</v>
      </c>
      <c r="L126" s="93" t="str">
        <f>VLOOKUP($D126,'All data'!$E$2:$M$2281,9,0)</f>
        <v>..</v>
      </c>
    </row>
    <row r="127" spans="1:12">
      <c r="A127" s="90">
        <f t="shared" si="6"/>
        <v>79</v>
      </c>
      <c r="B127" s="43" t="s">
        <v>131</v>
      </c>
      <c r="C127" s="43" t="str">
        <f>VLOOKUP(B127,'country codes'!$A$3:$B$287,2,0)</f>
        <v>KAZ</v>
      </c>
      <c r="D127" s="91" t="str">
        <f t="shared" si="7"/>
        <v>2020KAZ</v>
      </c>
      <c r="E127" s="43">
        <v>7</v>
      </c>
      <c r="F127" s="59">
        <f>VLOOKUP($D127,'All data'!$E$2:$M$2281,2,0)</f>
        <v>18776.706999999999</v>
      </c>
      <c r="G127" s="59">
        <f>VLOOKUP($D127,'All data'!$E$2:$M$2281,4,0)</f>
        <v>73.704249541284383</v>
      </c>
      <c r="H127" s="60">
        <f>VLOOKUP($D127,'All data'!$E$2:$M$2281,5,0)</f>
        <v>6.168269157409668</v>
      </c>
      <c r="I127" s="60">
        <f>VLOOKUP($D127,'All data'!$E$2:$M$2281,6,0)</f>
        <v>5.514546053095704</v>
      </c>
      <c r="J127" s="92">
        <f>VLOOKUP($D127,'All data'!$E$2:$M$2281,7,0)</f>
        <v>38.821855945115793</v>
      </c>
      <c r="K127" s="43">
        <f>VLOOKUP($C$5,'All data'!$G$2285:$J$2299,4,0)</f>
        <v>1.55</v>
      </c>
      <c r="L127" s="93" t="str">
        <f>VLOOKUP($D127,'All data'!$E$2:$M$2281,9,0)</f>
        <v>..</v>
      </c>
    </row>
    <row r="128" spans="1:12">
      <c r="A128" s="90" t="str">
        <f t="shared" si="6"/>
        <v/>
      </c>
      <c r="B128" s="43" t="s">
        <v>98</v>
      </c>
      <c r="C128" s="43" t="str">
        <f>VLOOKUP(B128,'country codes'!$A$3:$B$287,2,0)</f>
        <v>HTI</v>
      </c>
      <c r="D128" s="91" t="str">
        <f t="shared" si="7"/>
        <v>2020HTI</v>
      </c>
      <c r="E128" s="43">
        <v>1</v>
      </c>
      <c r="F128" s="59">
        <f>VLOOKUP($D128,'All data'!$E$2:$M$2281,2,0)</f>
        <v>11402.532999999999</v>
      </c>
      <c r="G128" s="59">
        <f>VLOOKUP($D128,'All data'!$E$2:$M$2281,4,0)</f>
        <v>64.248565137614676</v>
      </c>
      <c r="H128" s="60" t="str">
        <f>VLOOKUP($D128,'All data'!$E$2:$M$2281,5,0)</f>
        <v/>
      </c>
      <c r="I128" s="60" t="str">
        <f>VLOOKUP($D128,'All data'!$E$2:$M$2281,6,0)</f>
        <v/>
      </c>
      <c r="J128" s="92" t="str">
        <f>VLOOKUP($D128,'All data'!$E$2:$M$2281,7,0)</f>
        <v/>
      </c>
      <c r="K128" s="43">
        <f>VLOOKUP($C$5,'All data'!$G$2285:$J$2299,4,0)</f>
        <v>1.55</v>
      </c>
      <c r="L128" s="93" t="str">
        <f>VLOOKUP($D128,'All data'!$E$2:$M$2281,9,0)</f>
        <v>..</v>
      </c>
    </row>
    <row r="129" spans="1:12">
      <c r="A129" s="90" t="str">
        <f t="shared" si="6"/>
        <v/>
      </c>
      <c r="B129" s="43" t="s">
        <v>118</v>
      </c>
      <c r="C129" s="43" t="str">
        <f>VLOOKUP(B129,'country codes'!$A$3:$B$287,2,0)</f>
        <v>GIN</v>
      </c>
      <c r="D129" s="91" t="str">
        <f t="shared" si="7"/>
        <v>2020GIN</v>
      </c>
      <c r="E129" s="43">
        <v>5</v>
      </c>
      <c r="F129" s="59">
        <f>VLOOKUP($D129,'All data'!$E$2:$M$2281,2,0)</f>
        <v>13132.791999999999</v>
      </c>
      <c r="G129" s="59">
        <f>VLOOKUP($D129,'All data'!$E$2:$M$2281,4,0)</f>
        <v>61.97428256880734</v>
      </c>
      <c r="H129" s="60" t="str">
        <f>VLOOKUP($D129,'All data'!$E$2:$M$2281,5,0)</f>
        <v/>
      </c>
      <c r="I129" s="60" t="str">
        <f>VLOOKUP($D129,'All data'!$E$2:$M$2281,6,0)</f>
        <v/>
      </c>
      <c r="J129" s="92" t="str">
        <f>VLOOKUP($D129,'All data'!$E$2:$M$2281,7,0)</f>
        <v/>
      </c>
      <c r="K129" s="43">
        <f>VLOOKUP($C$5,'All data'!$G$2285:$J$2299,4,0)</f>
        <v>1.55</v>
      </c>
      <c r="L129" s="93" t="str">
        <f>VLOOKUP($D129,'All data'!$E$2:$M$2281,9,0)</f>
        <v>..</v>
      </c>
    </row>
    <row r="130" spans="1:12">
      <c r="A130" s="90" t="str">
        <f t="shared" si="6"/>
        <v/>
      </c>
      <c r="B130" s="43" t="s">
        <v>106</v>
      </c>
      <c r="C130" s="43" t="str">
        <f>VLOOKUP(B130,'country codes'!$A$3:$B$287,2,0)</f>
        <v>BDI</v>
      </c>
      <c r="D130" s="91" t="str">
        <f t="shared" si="7"/>
        <v>2020BDI</v>
      </c>
      <c r="E130" s="43">
        <v>5</v>
      </c>
      <c r="F130" s="59">
        <f>VLOOKUP($D130,'All data'!$E$2:$M$2281,2,0)</f>
        <v>11890.781000000001</v>
      </c>
      <c r="G130" s="59">
        <f>VLOOKUP($D130,'All data'!$E$2:$M$2281,4,0)</f>
        <v>62</v>
      </c>
      <c r="H130" s="60" t="str">
        <f>VLOOKUP($D130,'All data'!$E$2:$M$2281,5,0)</f>
        <v/>
      </c>
      <c r="I130" s="60" t="str">
        <f>VLOOKUP($D130,'All data'!$E$2:$M$2281,6,0)</f>
        <v/>
      </c>
      <c r="J130" s="92" t="str">
        <f>VLOOKUP($D130,'All data'!$E$2:$M$2281,7,0)</f>
        <v/>
      </c>
      <c r="K130" s="43">
        <f>VLOOKUP($C$5,'All data'!$G$2285:$J$2299,4,0)</f>
        <v>1.55</v>
      </c>
      <c r="L130" s="93" t="str">
        <f>VLOOKUP($D130,'All data'!$E$2:$M$2281,9,0)</f>
        <v>..</v>
      </c>
    </row>
    <row r="131" spans="1:12">
      <c r="A131" s="90">
        <f t="shared" si="6"/>
        <v>76</v>
      </c>
      <c r="B131" s="43" t="s">
        <v>136</v>
      </c>
      <c r="C131" s="43" t="str">
        <f>VLOOKUP(B131,'country codes'!$A$3:$B$287,2,0)</f>
        <v>USA</v>
      </c>
      <c r="D131" s="91" t="str">
        <f t="shared" si="7"/>
        <v>2020USA</v>
      </c>
      <c r="E131" s="43">
        <v>2</v>
      </c>
      <c r="F131" s="59">
        <f>VLOOKUP($D131,'All data'!$E$2:$M$2281,2,0)</f>
        <v>331002.647</v>
      </c>
      <c r="G131" s="59">
        <f>VLOOKUP($D131,'All data'!$E$2:$M$2281,4,0)</f>
        <v>77.400000000000006</v>
      </c>
      <c r="H131" s="60">
        <f>VLOOKUP($D131,'All data'!$E$2:$M$2281,5,0)</f>
        <v>7.0280880928039551</v>
      </c>
      <c r="I131" s="60">
        <f>VLOOKUP($D131,'All data'!$E$2:$M$2281,6,0)</f>
        <v>7.2027418168371486</v>
      </c>
      <c r="J131" s="92">
        <f>VLOOKUP($D131,'All data'!$E$2:$M$2281,7,0)</f>
        <v>39.703526706096689</v>
      </c>
      <c r="K131" s="43">
        <f>VLOOKUP($C$5,'All data'!$G$2285:$J$2299,4,0)</f>
        <v>1.55</v>
      </c>
      <c r="L131" s="93" t="str">
        <f>VLOOKUP($D131,'All data'!$E$2:$M$2281,9,0)</f>
        <v>..</v>
      </c>
    </row>
    <row r="132" spans="1:12">
      <c r="A132" s="90" t="str">
        <f t="shared" si="6"/>
        <v/>
      </c>
      <c r="B132" s="43" t="s">
        <v>115</v>
      </c>
      <c r="C132" s="43" t="str">
        <f>VLOOKUP(B132,'country codes'!$A$3:$B$287,2,0)</f>
        <v>TGO</v>
      </c>
      <c r="D132" s="91" t="str">
        <f t="shared" si="7"/>
        <v>2020TGO</v>
      </c>
      <c r="E132" s="43">
        <v>5</v>
      </c>
      <c r="F132" s="59">
        <f>VLOOKUP($D132,'All data'!$E$2:$M$2281,2,0)</f>
        <v>8278.7369999999992</v>
      </c>
      <c r="G132" s="59">
        <f>VLOOKUP($D132,'All data'!$E$2:$M$2281,4,0)</f>
        <v>61.174282568807342</v>
      </c>
      <c r="H132" s="60" t="str">
        <f>VLOOKUP($D132,'All data'!$E$2:$M$2281,5,0)</f>
        <v/>
      </c>
      <c r="I132" s="60" t="str">
        <f>VLOOKUP($D132,'All data'!$E$2:$M$2281,6,0)</f>
        <v/>
      </c>
      <c r="J132" s="92" t="str">
        <f>VLOOKUP($D132,'All data'!$E$2:$M$2281,7,0)</f>
        <v/>
      </c>
      <c r="K132" s="43">
        <f>VLOOKUP($C$5,'All data'!$G$2285:$J$2299,4,0)</f>
        <v>1.55</v>
      </c>
      <c r="L132" s="93" t="str">
        <f>VLOOKUP($D132,'All data'!$E$2:$M$2281,9,0)</f>
        <v>..</v>
      </c>
    </row>
    <row r="133" spans="1:12">
      <c r="A133" s="90">
        <f t="shared" si="6"/>
        <v>80</v>
      </c>
      <c r="B133" s="43" t="s">
        <v>117</v>
      </c>
      <c r="C133" s="43" t="str">
        <f>VLOOKUP(B133,'country codes'!$A$3:$B$287,2,0)</f>
        <v>TZA</v>
      </c>
      <c r="D133" s="91" t="str">
        <f t="shared" si="7"/>
        <v>2020TZA</v>
      </c>
      <c r="E133" s="43">
        <v>5</v>
      </c>
      <c r="F133" s="59">
        <f>VLOOKUP($D133,'All data'!$E$2:$M$2281,2,0)</f>
        <v>59734.213000000003</v>
      </c>
      <c r="G133" s="59">
        <f>VLOOKUP($D133,'All data'!$E$2:$M$2281,4,0)</f>
        <v>66</v>
      </c>
      <c r="H133" s="60">
        <f>VLOOKUP($D133,'All data'!$E$2:$M$2281,5,0)</f>
        <v>3.7856841087341309</v>
      </c>
      <c r="I133" s="60">
        <f>VLOOKUP($D133,'All data'!$E$2:$M$2281,6,0)</f>
        <v>1.0590010480731595</v>
      </c>
      <c r="J133" s="92">
        <f>VLOOKUP($D133,'All data'!$E$2:$M$2281,7,0)</f>
        <v>38.423755396682445</v>
      </c>
      <c r="K133" s="43">
        <f>VLOOKUP($C$5,'All data'!$G$2285:$J$2299,4,0)</f>
        <v>1.55</v>
      </c>
      <c r="L133" s="93" t="str">
        <f>VLOOKUP($D133,'All data'!$E$2:$M$2281,9,0)</f>
        <v>..</v>
      </c>
    </row>
    <row r="134" spans="1:12">
      <c r="A134" s="90">
        <f t="shared" si="6"/>
        <v>82</v>
      </c>
      <c r="B134" s="43" t="s">
        <v>135</v>
      </c>
      <c r="C134" s="43" t="str">
        <f>VLOOKUP(B134,'country codes'!$A$3:$B$287,2,0)</f>
        <v>LTU</v>
      </c>
      <c r="D134" s="91" t="str">
        <f t="shared" si="7"/>
        <v>2020LTU</v>
      </c>
      <c r="E134" s="43">
        <v>7</v>
      </c>
      <c r="F134" s="59">
        <f>VLOOKUP($D134,'All data'!$E$2:$M$2281,2,0)</f>
        <v>2722.2910000000002</v>
      </c>
      <c r="G134" s="59">
        <f>VLOOKUP($D134,'All data'!$E$2:$M$2281,4,0)</f>
        <v>74.5</v>
      </c>
      <c r="H134" s="60">
        <f>VLOOKUP($D134,'All data'!$E$2:$M$2281,5,0)</f>
        <v>6.3913788795471191</v>
      </c>
      <c r="I134" s="60">
        <f>VLOOKUP($D134,'All data'!$E$2:$M$2281,6,0)</f>
        <v>6.2134213206620608</v>
      </c>
      <c r="J134" s="92">
        <f>VLOOKUP($D134,'All data'!$E$2:$M$2281,7,0)</f>
        <v>38.13407863220533</v>
      </c>
      <c r="K134" s="43">
        <f>VLOOKUP($C$5,'All data'!$G$2285:$J$2299,4,0)</f>
        <v>1.55</v>
      </c>
      <c r="L134" s="93" t="str">
        <f>VLOOKUP($D134,'All data'!$E$2:$M$2281,9,0)</f>
        <v>..</v>
      </c>
    </row>
    <row r="135" spans="1:12">
      <c r="A135" s="90" t="str">
        <f t="shared" si="6"/>
        <v/>
      </c>
      <c r="B135" s="43" t="s">
        <v>125</v>
      </c>
      <c r="C135" s="43" t="str">
        <f>VLOOKUP(B135,'country codes'!$A$3:$B$287,2,0)</f>
        <v>NAM</v>
      </c>
      <c r="D135" s="91" t="str">
        <f t="shared" si="7"/>
        <v>2020NAM</v>
      </c>
      <c r="E135" s="43">
        <v>5</v>
      </c>
      <c r="F135" s="59">
        <f>VLOOKUP($D135,'All data'!$E$2:$M$2281,2,0)</f>
        <v>2540.9160000000002</v>
      </c>
      <c r="G135" s="59" t="str">
        <f>VLOOKUP($D135,'All data'!$E$2:$M$2281,4,0)</f>
        <v/>
      </c>
      <c r="H135" s="60">
        <f>VLOOKUP($D135,'All data'!$E$2:$M$2281,5,0)</f>
        <v>4.4510102272033691</v>
      </c>
      <c r="I135" s="60">
        <f>VLOOKUP($D135,'All data'!$E$2:$M$2281,6,0)</f>
        <v>1.8175315357896387</v>
      </c>
      <c r="J135" s="92" t="str">
        <f>VLOOKUP($D135,'All data'!$E$2:$M$2281,7,0)</f>
        <v/>
      </c>
      <c r="K135" s="43">
        <f>VLOOKUP($C$5,'All data'!$G$2285:$J$2299,4,0)</f>
        <v>1.55</v>
      </c>
      <c r="L135" s="93" t="str">
        <f>VLOOKUP($D135,'All data'!$E$2:$M$2281,9,0)</f>
        <v>..</v>
      </c>
    </row>
    <row r="136" spans="1:12">
      <c r="A136" s="90" t="str">
        <f t="shared" si="6"/>
        <v/>
      </c>
      <c r="B136" s="43" t="s">
        <v>134</v>
      </c>
      <c r="C136" s="43" t="str">
        <f>VLOOKUP(B136,'country codes'!$A$3:$B$287,2,0)</f>
        <v>BTN</v>
      </c>
      <c r="D136" s="91" t="str">
        <f t="shared" si="7"/>
        <v>2020BTN</v>
      </c>
      <c r="E136" s="43">
        <v>6</v>
      </c>
      <c r="F136" s="59">
        <f>VLOOKUP($D136,'All data'!$E$2:$M$2281,2,0)</f>
        <v>771.61199999999997</v>
      </c>
      <c r="G136" s="59" t="str">
        <f>VLOOKUP($D136,'All data'!$E$2:$M$2281,4,0)</f>
        <v/>
      </c>
      <c r="H136" s="60" t="str">
        <f>VLOOKUP($D136,'All data'!$E$2:$M$2281,5,0)</f>
        <v/>
      </c>
      <c r="I136" s="60" t="str">
        <f>VLOOKUP($D136,'All data'!$E$2:$M$2281,6,0)</f>
        <v/>
      </c>
      <c r="J136" s="92" t="str">
        <f>VLOOKUP($D136,'All data'!$E$2:$M$2281,7,0)</f>
        <v/>
      </c>
      <c r="K136" s="43">
        <f>VLOOKUP($C$5,'All data'!$G$2285:$J$2299,4,0)</f>
        <v>1.55</v>
      </c>
      <c r="L136" s="93" t="str">
        <f>VLOOKUP($D136,'All data'!$E$2:$M$2281,9,0)</f>
        <v>..</v>
      </c>
    </row>
    <row r="137" spans="1:12">
      <c r="A137" s="90">
        <f t="shared" si="6"/>
        <v>63</v>
      </c>
      <c r="B137" s="43" t="s">
        <v>124</v>
      </c>
      <c r="C137" s="43" t="str">
        <f>VLOOKUP(B137,'country codes'!$A$3:$B$287,2,0)</f>
        <v>IND</v>
      </c>
      <c r="D137" s="91" t="str">
        <f t="shared" si="7"/>
        <v>2020IND</v>
      </c>
      <c r="E137" s="43">
        <v>6</v>
      </c>
      <c r="F137" s="59">
        <f>VLOOKUP($D137,'All data'!$E$2:$M$2281,2,0)</f>
        <v>1380004.385</v>
      </c>
      <c r="G137" s="59">
        <f>VLOOKUP($D137,'All data'!$E$2:$M$2281,4,0)</f>
        <v>69.768543119266056</v>
      </c>
      <c r="H137" s="60">
        <f>VLOOKUP($D137,'All data'!$E$2:$M$2281,5,0)</f>
        <v>4.2252812385559082</v>
      </c>
      <c r="I137" s="60">
        <f>VLOOKUP($D137,'All data'!$E$2:$M$2281,6,0)</f>
        <v>1.1407422204811555</v>
      </c>
      <c r="J137" s="92">
        <f>VLOOKUP($D137,'All data'!$E$2:$M$2281,7,0)</f>
        <v>43.759663395474043</v>
      </c>
      <c r="K137" s="43">
        <f>VLOOKUP($C$5,'All data'!$G$2285:$J$2299,4,0)</f>
        <v>1.55</v>
      </c>
      <c r="L137" s="93" t="str">
        <f>VLOOKUP($D137,'All data'!$E$2:$M$2281,9,0)</f>
        <v>..</v>
      </c>
    </row>
    <row r="138" spans="1:12">
      <c r="A138" s="90">
        <f t="shared" ref="A138:A161" si="8">IFERROR(RANK(J138,$J$10:$J$161),"")</f>
        <v>86</v>
      </c>
      <c r="B138" s="43" t="s">
        <v>132</v>
      </c>
      <c r="C138" s="43" t="str">
        <f>VLOOKUP(B138,'country codes'!$A$3:$B$287,2,0)</f>
        <v>ZAF</v>
      </c>
      <c r="D138" s="91" t="str">
        <f t="shared" ref="D138:D161" si="9">$C$5&amp;C138</f>
        <v>2020ZAF</v>
      </c>
      <c r="E138" s="43">
        <v>5</v>
      </c>
      <c r="F138" s="59">
        <f>VLOOKUP($D138,'All data'!$E$2:$M$2281,2,0)</f>
        <v>59308.69</v>
      </c>
      <c r="G138" s="59">
        <f>VLOOKUP($D138,'All data'!$E$2:$M$2281,4,0)</f>
        <v>60.599999999999994</v>
      </c>
      <c r="H138" s="60">
        <f>VLOOKUP($D138,'All data'!$E$2:$M$2281,5,0)</f>
        <v>4.946800708770752</v>
      </c>
      <c r="I138" s="60">
        <f>VLOOKUP($D138,'All data'!$E$2:$M$2281,6,0)</f>
        <v>2.7276511199498095</v>
      </c>
      <c r="J138" s="92">
        <f>VLOOKUP($D138,'All data'!$E$2:$M$2281,7,0)</f>
        <v>34.290464383325485</v>
      </c>
      <c r="K138" s="43">
        <f>VLOOKUP($C$5,'All data'!$G$2285:$J$2299,4,0)</f>
        <v>1.55</v>
      </c>
      <c r="L138" s="93" t="str">
        <f>VLOOKUP($D138,'All data'!$E$2:$M$2281,9,0)</f>
        <v>..</v>
      </c>
    </row>
    <row r="139" spans="1:12">
      <c r="A139" s="90" t="str">
        <f t="shared" si="8"/>
        <v/>
      </c>
      <c r="B139" s="43" t="s">
        <v>128</v>
      </c>
      <c r="C139" s="43" t="str">
        <f>VLOOKUP(B139,'country codes'!$A$3:$B$287,2,0)</f>
        <v>SWZ</v>
      </c>
      <c r="D139" s="91" t="str">
        <f t="shared" si="9"/>
        <v>2020SWZ</v>
      </c>
      <c r="E139" s="43">
        <v>5</v>
      </c>
      <c r="F139" s="59">
        <f>VLOOKUP($D139,'All data'!$E$2:$M$2281,2,0)</f>
        <v>1160.164</v>
      </c>
      <c r="G139" s="59">
        <f>VLOOKUP($D139,'All data'!$E$2:$M$2281,4,0)</f>
        <v>60.62709724770643</v>
      </c>
      <c r="H139" s="60" t="str">
        <f>VLOOKUP($D139,'All data'!$E$2:$M$2281,5,0)</f>
        <v/>
      </c>
      <c r="I139" s="60" t="str">
        <f>VLOOKUP($D139,'All data'!$E$2:$M$2281,6,0)</f>
        <v/>
      </c>
      <c r="J139" s="92" t="str">
        <f>VLOOKUP($D139,'All data'!$E$2:$M$2281,7,0)</f>
        <v/>
      </c>
      <c r="K139" s="43">
        <f>VLOOKUP($C$5,'All data'!$G$2285:$J$2299,4,0)</f>
        <v>1.55</v>
      </c>
      <c r="L139" s="93" t="str">
        <f>VLOOKUP($D139,'All data'!$E$2:$M$2281,9,0)</f>
        <v>..</v>
      </c>
    </row>
    <row r="140" spans="1:12">
      <c r="A140" s="90">
        <f t="shared" si="8"/>
        <v>85</v>
      </c>
      <c r="B140" s="43" t="s">
        <v>137</v>
      </c>
      <c r="C140" s="43" t="str">
        <f>VLOOKUP(B140,'country codes'!$A$3:$B$287,2,0)</f>
        <v>RUS</v>
      </c>
      <c r="D140" s="91" t="str">
        <f t="shared" si="9"/>
        <v>2020RUS</v>
      </c>
      <c r="E140" s="43">
        <v>7</v>
      </c>
      <c r="F140" s="59">
        <f>VLOOKUP($D140,'All data'!$E$2:$M$2281,2,0)</f>
        <v>145934.46</v>
      </c>
      <c r="G140" s="59">
        <f>VLOOKUP($D140,'All data'!$E$2:$M$2281,4,0)</f>
        <v>70.399999999999991</v>
      </c>
      <c r="H140" s="60">
        <f>VLOOKUP($D140,'All data'!$E$2:$M$2281,5,0)</f>
        <v>5.4952888488769531</v>
      </c>
      <c r="I140" s="60">
        <f>VLOOKUP($D140,'All data'!$E$2:$M$2281,6,0)</f>
        <v>5.0532921788469212</v>
      </c>
      <c r="J140" s="92">
        <f>VLOOKUP($D140,'All data'!$E$2:$M$2281,7,0)</f>
        <v>35.148909918977949</v>
      </c>
      <c r="K140" s="43">
        <f>VLOOKUP($C$5,'All data'!$G$2285:$J$2299,4,0)</f>
        <v>1.55</v>
      </c>
      <c r="L140" s="93" t="str">
        <f>VLOOKUP($D140,'All data'!$E$2:$M$2281,9,0)</f>
        <v>..</v>
      </c>
    </row>
    <row r="141" spans="1:12">
      <c r="A141" s="90" t="str">
        <f t="shared" si="8"/>
        <v/>
      </c>
      <c r="B141" s="43" t="s">
        <v>133</v>
      </c>
      <c r="C141" s="43" t="str">
        <f>VLOOKUP(B141,'country codes'!$A$3:$B$287,2,0)</f>
        <v>MRT</v>
      </c>
      <c r="D141" s="91" t="str">
        <f t="shared" si="9"/>
        <v>2020MRT</v>
      </c>
      <c r="E141" s="43">
        <v>5</v>
      </c>
      <c r="F141" s="59">
        <f>VLOOKUP($D141,'All data'!$E$2:$M$2281,2,0)</f>
        <v>4649.66</v>
      </c>
      <c r="G141" s="59">
        <f>VLOOKUP($D141,'All data'!$E$2:$M$2281,4,0)</f>
        <v>64.868543119266064</v>
      </c>
      <c r="H141" s="60" t="str">
        <f>VLOOKUP($D141,'All data'!$E$2:$M$2281,5,0)</f>
        <v/>
      </c>
      <c r="I141" s="60" t="str">
        <f>VLOOKUP($D141,'All data'!$E$2:$M$2281,6,0)</f>
        <v/>
      </c>
      <c r="J141" s="92" t="str">
        <f>VLOOKUP($D141,'All data'!$E$2:$M$2281,7,0)</f>
        <v/>
      </c>
      <c r="K141" s="43">
        <f>VLOOKUP($C$5,'All data'!$G$2285:$J$2299,4,0)</f>
        <v>1.55</v>
      </c>
      <c r="L141" s="93" t="str">
        <f>VLOOKUP($D141,'All data'!$E$2:$M$2281,9,0)</f>
        <v>..</v>
      </c>
    </row>
    <row r="142" spans="1:12">
      <c r="A142" s="90">
        <f t="shared" si="8"/>
        <v>78</v>
      </c>
      <c r="B142" s="43" t="s">
        <v>141</v>
      </c>
      <c r="C142" s="43" t="str">
        <f>VLOOKUP(B142,'country codes'!$A$3:$B$287,2,0)</f>
        <v>EST</v>
      </c>
      <c r="D142" s="91" t="str">
        <f t="shared" si="9"/>
        <v>2020EST</v>
      </c>
      <c r="E142" s="43">
        <v>7</v>
      </c>
      <c r="F142" s="59">
        <f>VLOOKUP($D142,'All data'!$E$2:$M$2281,2,0)</f>
        <v>1326.539</v>
      </c>
      <c r="G142" s="59">
        <f>VLOOKUP($D142,'All data'!$E$2:$M$2281,4,0)</f>
        <v>78.399999999999991</v>
      </c>
      <c r="H142" s="60">
        <f>VLOOKUP($D142,'All data'!$E$2:$M$2281,5,0)</f>
        <v>6.4525637626647949</v>
      </c>
      <c r="I142" s="60">
        <f>VLOOKUP($D142,'All data'!$E$2:$M$2281,6,0)</f>
        <v>6.7963129567792215</v>
      </c>
      <c r="J142" s="92">
        <f>VLOOKUP($D142,'All data'!$E$2:$M$2281,7,0)</f>
        <v>38.861936112896316</v>
      </c>
      <c r="K142" s="43">
        <f>VLOOKUP($C$5,'All data'!$G$2285:$J$2299,4,0)</f>
        <v>1.55</v>
      </c>
      <c r="L142" s="93" t="str">
        <f>VLOOKUP($D142,'All data'!$E$2:$M$2281,9,0)</f>
        <v>..</v>
      </c>
    </row>
    <row r="143" spans="1:12">
      <c r="A143" s="90">
        <f t="shared" si="8"/>
        <v>53</v>
      </c>
      <c r="B143" s="43" t="s">
        <v>126</v>
      </c>
      <c r="C143" s="43" t="str">
        <f>VLOOKUP(B143,'country codes'!$A$3:$B$287,2,0)</f>
        <v>ZMB</v>
      </c>
      <c r="D143" s="91" t="str">
        <f t="shared" si="9"/>
        <v>2020ZMB</v>
      </c>
      <c r="E143" s="43">
        <v>5</v>
      </c>
      <c r="F143" s="59">
        <f>VLOOKUP($D143,'All data'!$E$2:$M$2281,2,0)</f>
        <v>18383.955999999998</v>
      </c>
      <c r="G143" s="59">
        <f>VLOOKUP($D143,'All data'!$E$2:$M$2281,4,0)</f>
        <v>64.209988990825678</v>
      </c>
      <c r="H143" s="60">
        <f>VLOOKUP($D143,'All data'!$E$2:$M$2281,5,0)</f>
        <v>4.8379921913146973</v>
      </c>
      <c r="I143" s="60">
        <f>VLOOKUP($D143,'All data'!$E$2:$M$2281,6,0)</f>
        <v>0.89031755517689115</v>
      </c>
      <c r="J143" s="92">
        <f>VLOOKUP($D143,'All data'!$E$2:$M$2281,7,0)</f>
        <v>45.226553610052093</v>
      </c>
      <c r="K143" s="43">
        <f>VLOOKUP($C$5,'All data'!$G$2285:$J$2299,4,0)</f>
        <v>1.55</v>
      </c>
      <c r="L143" s="93" t="str">
        <f>VLOOKUP($D143,'All data'!$E$2:$M$2281,9,0)</f>
        <v>..</v>
      </c>
    </row>
    <row r="144" spans="1:12">
      <c r="A144" s="90">
        <f t="shared" si="8"/>
        <v>84</v>
      </c>
      <c r="B144" s="43" t="s">
        <v>145</v>
      </c>
      <c r="C144" s="43" t="str">
        <f>VLOOKUP(B144,'country codes'!$A$3:$B$287,2,0)</f>
        <v>ARE</v>
      </c>
      <c r="D144" s="91" t="str">
        <f t="shared" si="9"/>
        <v>2020ARE</v>
      </c>
      <c r="E144" s="43">
        <v>4</v>
      </c>
      <c r="F144" s="59">
        <f>VLOOKUP($D144,'All data'!$E$2:$M$2281,2,0)</f>
        <v>9890.4</v>
      </c>
      <c r="G144" s="59">
        <f>VLOOKUP($D144,'All data'!$E$2:$M$2281,4,0)</f>
        <v>77.788521100917436</v>
      </c>
      <c r="H144" s="60">
        <f>VLOOKUP($D144,'All data'!$E$2:$M$2281,5,0)</f>
        <v>6.4583921432495117</v>
      </c>
      <c r="I144" s="60">
        <f>VLOOKUP($D144,'All data'!$E$2:$M$2281,6,0)</f>
        <v>7.8786372773613831</v>
      </c>
      <c r="J144" s="92">
        <f>VLOOKUP($D144,'All data'!$E$2:$M$2281,7,0)</f>
        <v>35.626946480015512</v>
      </c>
      <c r="K144" s="43">
        <f>VLOOKUP($C$5,'All data'!$G$2285:$J$2299,4,0)</f>
        <v>1.55</v>
      </c>
      <c r="L144" s="93" t="str">
        <f>VLOOKUP($D144,'All data'!$E$2:$M$2281,9,0)</f>
        <v>..</v>
      </c>
    </row>
    <row r="145" spans="1:12">
      <c r="A145" s="90">
        <f t="shared" si="8"/>
        <v>83</v>
      </c>
      <c r="B145" s="43" t="s">
        <v>142</v>
      </c>
      <c r="C145" s="43" t="str">
        <f>VLOOKUP(B145,'country codes'!$A$3:$B$287,2,0)</f>
        <v>LVA</v>
      </c>
      <c r="D145" s="91" t="str">
        <f t="shared" si="9"/>
        <v>2020LVA</v>
      </c>
      <c r="E145" s="43">
        <v>7</v>
      </c>
      <c r="F145" s="59">
        <f>VLOOKUP($D145,'All data'!$E$2:$M$2281,2,0)</f>
        <v>1886.202</v>
      </c>
      <c r="G145" s="59">
        <f>VLOOKUP($D145,'All data'!$E$2:$M$2281,4,0)</f>
        <v>75.3</v>
      </c>
      <c r="H145" s="60">
        <f>VLOOKUP($D145,'All data'!$E$2:$M$2281,5,0)</f>
        <v>6.229008674621582</v>
      </c>
      <c r="I145" s="60">
        <f>VLOOKUP($D145,'All data'!$E$2:$M$2281,6,0)</f>
        <v>6.6099269524815263</v>
      </c>
      <c r="J145" s="92">
        <f>VLOOKUP($D145,'All data'!$E$2:$M$2281,7,0)</f>
        <v>36.685972171699852</v>
      </c>
      <c r="K145" s="43">
        <f>VLOOKUP($C$5,'All data'!$G$2285:$J$2299,4,0)</f>
        <v>1.55</v>
      </c>
      <c r="L145" s="93" t="str">
        <f>VLOOKUP($D145,'All data'!$E$2:$M$2281,9,0)</f>
        <v>..</v>
      </c>
    </row>
    <row r="146" spans="1:12">
      <c r="A146" s="90">
        <f t="shared" si="8"/>
        <v>72</v>
      </c>
      <c r="B146" s="43" t="s">
        <v>129</v>
      </c>
      <c r="C146" s="43" t="str">
        <f>VLOOKUP(B146,'country codes'!$A$3:$B$287,2,0)</f>
        <v>NGA</v>
      </c>
      <c r="D146" s="91" t="str">
        <f t="shared" si="9"/>
        <v>2020NGA</v>
      </c>
      <c r="E146" s="43">
        <v>5</v>
      </c>
      <c r="F146" s="59">
        <f>VLOOKUP($D146,'All data'!$E$2:$M$2281,2,0)</f>
        <v>206139.587</v>
      </c>
      <c r="G146" s="59">
        <f>VLOOKUP($D146,'All data'!$E$2:$M$2281,4,0)</f>
        <v>55.087141284403678</v>
      </c>
      <c r="H146" s="60">
        <f>VLOOKUP($D146,'All data'!$E$2:$M$2281,5,0)</f>
        <v>5.5029482841491699</v>
      </c>
      <c r="I146" s="60">
        <f>VLOOKUP($D146,'All data'!$E$2:$M$2281,6,0)</f>
        <v>0.95887975491338318</v>
      </c>
      <c r="J146" s="92">
        <f>VLOOKUP($D146,'All data'!$E$2:$M$2281,7,0)</f>
        <v>41.206846696526618</v>
      </c>
      <c r="K146" s="43">
        <f>VLOOKUP($C$5,'All data'!$G$2285:$J$2299,4,0)</f>
        <v>1.55</v>
      </c>
      <c r="L146" s="93" t="str">
        <f>VLOOKUP($D146,'All data'!$E$2:$M$2281,9,0)</f>
        <v>..</v>
      </c>
    </row>
    <row r="147" spans="1:12">
      <c r="A147" s="90" t="str">
        <f t="shared" si="8"/>
        <v/>
      </c>
      <c r="B147" s="43" t="s">
        <v>147</v>
      </c>
      <c r="C147" s="43" t="str">
        <f>VLOOKUP(B147,'country codes'!$A$3:$B$287,2,0)</f>
        <v>HKG</v>
      </c>
      <c r="D147" s="91" t="str">
        <f t="shared" si="9"/>
        <v>2020HKG</v>
      </c>
      <c r="E147" s="43">
        <v>8</v>
      </c>
      <c r="F147" s="59">
        <f>VLOOKUP($D147,'All data'!$E$2:$M$2281,2,0)</f>
        <v>7496.9880000000003</v>
      </c>
      <c r="G147" s="59">
        <f>VLOOKUP($D147,'All data'!$E$2:$M$2281,4,0)</f>
        <v>85.061423853211011</v>
      </c>
      <c r="H147" s="60">
        <f>VLOOKUP($D147,'All data'!$E$2:$M$2281,5,0)</f>
        <v>5.2953414916992188</v>
      </c>
      <c r="I147" s="60" t="str">
        <f>VLOOKUP($D147,'All data'!$E$2:$M$2281,6,0)</f>
        <v/>
      </c>
      <c r="J147" s="92" t="str">
        <f>VLOOKUP($D147,'All data'!$E$2:$M$2281,7,0)</f>
        <v/>
      </c>
      <c r="K147" s="43">
        <f>VLOOKUP($C$5,'All data'!$G$2285:$J$2299,4,0)</f>
        <v>1.55</v>
      </c>
      <c r="L147" s="93" t="str">
        <f>VLOOKUP($D147,'All data'!$E$2:$M$2281,9,0)</f>
        <v>..</v>
      </c>
    </row>
    <row r="148" spans="1:12">
      <c r="A148" s="90">
        <f t="shared" si="8"/>
        <v>87</v>
      </c>
      <c r="B148" s="43" t="s">
        <v>149</v>
      </c>
      <c r="C148" s="43" t="str">
        <f>VLOOKUP(B148,'country codes'!$A$3:$B$287,2,0)</f>
        <v>BHR</v>
      </c>
      <c r="D148" s="91" t="str">
        <f t="shared" si="9"/>
        <v>2020BHR</v>
      </c>
      <c r="E148" s="43">
        <v>4</v>
      </c>
      <c r="F148" s="59">
        <f>VLOOKUP($D148,'All data'!$E$2:$M$2281,2,0)</f>
        <v>1701.5830000000001</v>
      </c>
      <c r="G148" s="59">
        <f>VLOOKUP($D148,'All data'!$E$2:$M$2281,4,0)</f>
        <v>76.499889908256876</v>
      </c>
      <c r="H148" s="60">
        <f>VLOOKUP($D148,'All data'!$E$2:$M$2281,5,0)</f>
        <v>6.1731758117675781</v>
      </c>
      <c r="I148" s="60">
        <f>VLOOKUP($D148,'All data'!$E$2:$M$2281,6,0)</f>
        <v>8.213431873554109</v>
      </c>
      <c r="J148" s="92">
        <f>VLOOKUP($D148,'All data'!$E$2:$M$2281,7,0)</f>
        <v>33.01221307318081</v>
      </c>
      <c r="K148" s="43">
        <f>VLOOKUP($C$5,'All data'!$G$2285:$J$2299,4,0)</f>
        <v>1.55</v>
      </c>
      <c r="L148" s="93" t="str">
        <f>VLOOKUP($D148,'All data'!$E$2:$M$2281,9,0)</f>
        <v>..</v>
      </c>
    </row>
    <row r="149" spans="1:12">
      <c r="A149" s="90" t="str">
        <f t="shared" si="8"/>
        <v/>
      </c>
      <c r="B149" s="43" t="s">
        <v>148</v>
      </c>
      <c r="C149" s="43" t="str">
        <f>VLOOKUP(B149,'country codes'!$A$3:$B$287,2,0)</f>
        <v>KWT</v>
      </c>
      <c r="D149" s="91" t="str">
        <f t="shared" si="9"/>
        <v>2020KWT</v>
      </c>
      <c r="E149" s="43">
        <v>4</v>
      </c>
      <c r="F149" s="59">
        <f>VLOOKUP($D149,'All data'!$E$2:$M$2281,2,0)</f>
        <v>4270.5630000000001</v>
      </c>
      <c r="G149" s="59">
        <f>VLOOKUP($D149,'All data'!$E$2:$M$2281,4,0)</f>
        <v>74.995640366972466</v>
      </c>
      <c r="H149" s="60" t="str">
        <f>VLOOKUP($D149,'All data'!$E$2:$M$2281,5,0)</f>
        <v/>
      </c>
      <c r="I149" s="60">
        <f>VLOOKUP($D149,'All data'!$E$2:$M$2281,6,0)</f>
        <v>6.7223384297068396</v>
      </c>
      <c r="J149" s="92" t="str">
        <f>VLOOKUP($D149,'All data'!$E$2:$M$2281,7,0)</f>
        <v/>
      </c>
      <c r="K149" s="43">
        <f>VLOOKUP($C$5,'All data'!$G$2285:$J$2299,4,0)</f>
        <v>1.55</v>
      </c>
      <c r="L149" s="93" t="str">
        <f>VLOOKUP($D149,'All data'!$E$2:$M$2281,9,0)</f>
        <v>..</v>
      </c>
    </row>
    <row r="150" spans="1:12">
      <c r="A150" s="90" t="str">
        <f t="shared" si="8"/>
        <v/>
      </c>
      <c r="B150" s="43" t="s">
        <v>144</v>
      </c>
      <c r="C150" s="43" t="str">
        <f>VLOOKUP(B150,'country codes'!$A$3:$B$287,2,0)</f>
        <v>TKM</v>
      </c>
      <c r="D150" s="91" t="str">
        <f t="shared" si="9"/>
        <v>2020TKM</v>
      </c>
      <c r="E150" s="43">
        <v>7</v>
      </c>
      <c r="F150" s="59">
        <f>VLOOKUP($D150,'All data'!$E$2:$M$2281,2,0)</f>
        <v>6031.1869999999999</v>
      </c>
      <c r="G150" s="59" t="str">
        <f>VLOOKUP($D150,'All data'!$E$2:$M$2281,4,0)</f>
        <v/>
      </c>
      <c r="H150" s="60" t="str">
        <f>VLOOKUP($D150,'All data'!$E$2:$M$2281,5,0)</f>
        <v/>
      </c>
      <c r="I150" s="60">
        <f>VLOOKUP($D150,'All data'!$E$2:$M$2281,6,0)</f>
        <v>5.1641454241715739</v>
      </c>
      <c r="J150" s="92" t="str">
        <f>VLOOKUP($D150,'All data'!$E$2:$M$2281,7,0)</f>
        <v/>
      </c>
      <c r="K150" s="43">
        <f>VLOOKUP($C$5,'All data'!$G$2285:$J$2299,4,0)</f>
        <v>1.55</v>
      </c>
      <c r="L150" s="93" t="str">
        <f>VLOOKUP($D150,'All data'!$E$2:$M$2281,9,0)</f>
        <v>..</v>
      </c>
    </row>
    <row r="151" spans="1:12">
      <c r="A151" s="90" t="str">
        <f t="shared" si="8"/>
        <v/>
      </c>
      <c r="B151" s="43" t="s">
        <v>139</v>
      </c>
      <c r="C151" s="43" t="str">
        <f>VLOOKUP(B151,'country codes'!$A$3:$B$287,2,0)</f>
        <v>BWA</v>
      </c>
      <c r="D151" s="91" t="str">
        <f t="shared" si="9"/>
        <v>2020BWA</v>
      </c>
      <c r="E151" s="43">
        <v>5</v>
      </c>
      <c r="F151" s="59">
        <f>VLOOKUP($D151,'All data'!$E$2:$M$2281,2,0)</f>
        <v>2351.625</v>
      </c>
      <c r="G151" s="59">
        <f>VLOOKUP($D151,'All data'!$E$2:$M$2281,4,0)</f>
        <v>69.848565137614671</v>
      </c>
      <c r="H151" s="60" t="str">
        <f>VLOOKUP($D151,'All data'!$E$2:$M$2281,5,0)</f>
        <v/>
      </c>
      <c r="I151" s="60" t="str">
        <f>VLOOKUP($D151,'All data'!$E$2:$M$2281,6,0)</f>
        <v/>
      </c>
      <c r="J151" s="92" t="str">
        <f>VLOOKUP($D151,'All data'!$E$2:$M$2281,7,0)</f>
        <v/>
      </c>
      <c r="K151" s="43">
        <f>VLOOKUP($C$5,'All data'!$G$2285:$J$2299,4,0)</f>
        <v>1.55</v>
      </c>
      <c r="L151" s="93" t="str">
        <f>VLOOKUP($D151,'All data'!$E$2:$M$2281,9,0)</f>
        <v>..</v>
      </c>
    </row>
    <row r="152" spans="1:12">
      <c r="A152" s="90" t="str">
        <f t="shared" si="8"/>
        <v/>
      </c>
      <c r="B152" s="43" t="s">
        <v>152</v>
      </c>
      <c r="C152" s="43" t="str">
        <f>VLOOKUP(B152,'country codes'!$A$3:$B$287,2,0)</f>
        <v>LUX</v>
      </c>
      <c r="D152" s="91" t="str">
        <f t="shared" si="9"/>
        <v>2020LUX</v>
      </c>
      <c r="E152" s="43">
        <v>3</v>
      </c>
      <c r="F152" s="59">
        <f>VLOOKUP($D152,'All data'!$E$2:$M$2281,2,0)</f>
        <v>625.976</v>
      </c>
      <c r="G152" s="59">
        <f>VLOOKUP($D152,'All data'!$E$2:$M$2281,4,0)</f>
        <v>81.399999999999991</v>
      </c>
      <c r="H152" s="60" t="str">
        <f>VLOOKUP($D152,'All data'!$E$2:$M$2281,5,0)</f>
        <v/>
      </c>
      <c r="I152" s="60">
        <f>VLOOKUP($D152,'All data'!$E$2:$M$2281,6,0)</f>
        <v>9.7872408802630133</v>
      </c>
      <c r="J152" s="92" t="str">
        <f>VLOOKUP($D152,'All data'!$E$2:$M$2281,7,0)</f>
        <v/>
      </c>
      <c r="K152" s="43">
        <f>VLOOKUP($C$5,'All data'!$G$2285:$J$2299,4,0)</f>
        <v>1.55</v>
      </c>
      <c r="L152" s="93" t="str">
        <f>VLOOKUP($D152,'All data'!$E$2:$M$2281,9,0)</f>
        <v>..</v>
      </c>
    </row>
    <row r="153" spans="1:12">
      <c r="A153" s="90" t="str">
        <f t="shared" si="8"/>
        <v/>
      </c>
      <c r="B153" s="43" t="s">
        <v>151</v>
      </c>
      <c r="C153" s="43" t="str">
        <f>VLOOKUP(B153,'country codes'!$A$3:$B$287,2,0)</f>
        <v>TTO</v>
      </c>
      <c r="D153" s="91" t="str">
        <f t="shared" si="9"/>
        <v>2020TTO</v>
      </c>
      <c r="E153" s="43">
        <v>1</v>
      </c>
      <c r="F153" s="59">
        <f>VLOOKUP($D153,'All data'!$E$2:$M$2281,2,0)</f>
        <v>1399.491</v>
      </c>
      <c r="G153" s="59">
        <f>VLOOKUP($D153,'All data'!$E$2:$M$2281,4,0)</f>
        <v>73.445695412844032</v>
      </c>
      <c r="H153" s="60" t="str">
        <f>VLOOKUP($D153,'All data'!$E$2:$M$2281,5,0)</f>
        <v/>
      </c>
      <c r="I153" s="60" t="str">
        <f>VLOOKUP($D153,'All data'!$E$2:$M$2281,6,0)</f>
        <v/>
      </c>
      <c r="J153" s="92" t="str">
        <f>VLOOKUP($D153,'All data'!$E$2:$M$2281,7,0)</f>
        <v/>
      </c>
      <c r="K153" s="43">
        <f>VLOOKUP($C$5,'All data'!$G$2285:$J$2299,4,0)</f>
        <v>1.55</v>
      </c>
      <c r="L153" s="93" t="str">
        <f>VLOOKUP($D153,'All data'!$E$2:$M$2281,9,0)</f>
        <v>..</v>
      </c>
    </row>
    <row r="154" spans="1:12">
      <c r="A154" s="90" t="str">
        <f t="shared" si="8"/>
        <v/>
      </c>
      <c r="B154" s="43" t="s">
        <v>140</v>
      </c>
      <c r="C154" s="43" t="str">
        <f>VLOOKUP(B154,'country codes'!$A$3:$B$287,2,0)</f>
        <v>TCD</v>
      </c>
      <c r="D154" s="91" t="str">
        <f t="shared" si="9"/>
        <v>2020TCD</v>
      </c>
      <c r="E154" s="43">
        <v>5</v>
      </c>
      <c r="F154" s="59">
        <f>VLOOKUP($D154,'All data'!$E$2:$M$2281,2,0)</f>
        <v>16425.859</v>
      </c>
      <c r="G154" s="59">
        <f>VLOOKUP($D154,'All data'!$E$2:$M$2281,4,0)</f>
        <v>54.387141284403675</v>
      </c>
      <c r="H154" s="60" t="str">
        <f>VLOOKUP($D154,'All data'!$E$2:$M$2281,5,0)</f>
        <v/>
      </c>
      <c r="I154" s="60" t="str">
        <f>VLOOKUP($D154,'All data'!$E$2:$M$2281,6,0)</f>
        <v/>
      </c>
      <c r="J154" s="92" t="str">
        <f>VLOOKUP($D154,'All data'!$E$2:$M$2281,7,0)</f>
        <v/>
      </c>
      <c r="K154" s="43">
        <f>VLOOKUP($C$5,'All data'!$G$2285:$J$2299,4,0)</f>
        <v>1.55</v>
      </c>
      <c r="L154" s="93" t="str">
        <f>VLOOKUP($D154,'All data'!$E$2:$M$2281,9,0)</f>
        <v>..</v>
      </c>
    </row>
    <row r="155" spans="1:12">
      <c r="A155" s="90" t="str">
        <f t="shared" si="8"/>
        <v/>
      </c>
      <c r="B155" s="43" t="s">
        <v>138</v>
      </c>
      <c r="C155" s="43" t="str">
        <f>VLOOKUP(B155,'country codes'!$A$3:$B$287,2,0)</f>
        <v>AFG</v>
      </c>
      <c r="D155" s="91" t="str">
        <f t="shared" si="9"/>
        <v>2020AFG</v>
      </c>
      <c r="E155" s="43">
        <v>6</v>
      </c>
      <c r="F155" s="59">
        <f>VLOOKUP($D155,'All data'!$E$2:$M$2281,2,0)</f>
        <v>38928.341</v>
      </c>
      <c r="G155" s="59">
        <f>VLOOKUP($D155,'All data'!$E$2:$M$2281,4,0)</f>
        <v>64.894260550458711</v>
      </c>
      <c r="H155" s="60" t="str">
        <f>VLOOKUP($D155,'All data'!$E$2:$M$2281,5,0)</f>
        <v/>
      </c>
      <c r="I155" s="60" t="str">
        <f>VLOOKUP($D155,'All data'!$E$2:$M$2281,6,0)</f>
        <v/>
      </c>
      <c r="J155" s="92" t="str">
        <f>VLOOKUP($D155,'All data'!$E$2:$M$2281,7,0)</f>
        <v/>
      </c>
      <c r="K155" s="43">
        <f>VLOOKUP($C$5,'All data'!$G$2285:$J$2299,4,0)</f>
        <v>1.55</v>
      </c>
      <c r="L155" s="93" t="str">
        <f>VLOOKUP($D155,'All data'!$E$2:$M$2281,9,0)</f>
        <v>..</v>
      </c>
    </row>
    <row r="156" spans="1:12">
      <c r="A156" s="90" t="str">
        <f t="shared" si="8"/>
        <v/>
      </c>
      <c r="B156" s="43" t="s">
        <v>143</v>
      </c>
      <c r="C156" s="43" t="str">
        <f>VLOOKUP(B156,'country codes'!$A$3:$B$287,2,0)</f>
        <v>SLE</v>
      </c>
      <c r="D156" s="91" t="str">
        <f t="shared" si="9"/>
        <v>2020SLE</v>
      </c>
      <c r="E156" s="43">
        <v>5</v>
      </c>
      <c r="F156" s="59">
        <f>VLOOKUP($D156,'All data'!$E$2:$M$2281,2,0)</f>
        <v>7976.9849999999997</v>
      </c>
      <c r="G156" s="59">
        <f>VLOOKUP($D156,'All data'!$E$2:$M$2281,4,0)</f>
        <v>55.074282568807348</v>
      </c>
      <c r="H156" s="60" t="str">
        <f>VLOOKUP($D156,'All data'!$E$2:$M$2281,5,0)</f>
        <v/>
      </c>
      <c r="I156" s="60" t="str">
        <f>VLOOKUP($D156,'All data'!$E$2:$M$2281,6,0)</f>
        <v/>
      </c>
      <c r="J156" s="92" t="str">
        <f>VLOOKUP($D156,'All data'!$E$2:$M$2281,7,0)</f>
        <v/>
      </c>
      <c r="K156" s="43">
        <f>VLOOKUP($C$5,'All data'!$G$2285:$J$2299,4,0)</f>
        <v>1.55</v>
      </c>
      <c r="L156" s="93" t="str">
        <f>VLOOKUP($D156,'All data'!$E$2:$M$2281,9,0)</f>
        <v>..</v>
      </c>
    </row>
    <row r="157" spans="1:12">
      <c r="A157" s="90">
        <f t="shared" si="8"/>
        <v>88</v>
      </c>
      <c r="B157" s="43" t="s">
        <v>146</v>
      </c>
      <c r="C157" s="43" t="str">
        <f>VLOOKUP(B157,'country codes'!$A$3:$B$287,2,0)</f>
        <v>ZWE</v>
      </c>
      <c r="D157" s="91" t="str">
        <f t="shared" si="9"/>
        <v>2020ZWE</v>
      </c>
      <c r="E157" s="43">
        <v>5</v>
      </c>
      <c r="F157" s="59">
        <f>VLOOKUP($D157,'All data'!$E$2:$M$2281,2,0)</f>
        <v>14862.927</v>
      </c>
      <c r="G157" s="59">
        <f>VLOOKUP($D157,'All data'!$E$2:$M$2281,4,0)</f>
        <v>61.735706422018346</v>
      </c>
      <c r="H157" s="60">
        <f>VLOOKUP($D157,'All data'!$E$2:$M$2281,5,0)</f>
        <v>3.1598021984100342</v>
      </c>
      <c r="I157" s="60">
        <f>VLOOKUP($D157,'All data'!$E$2:$M$2281,6,0)</f>
        <v>0.93139361877460392</v>
      </c>
      <c r="J157" s="92">
        <f>VLOOKUP($D157,'All data'!$E$2:$M$2281,7,0)</f>
        <v>31.981286142144771</v>
      </c>
      <c r="K157" s="43">
        <f>VLOOKUP($C$5,'All data'!$G$2285:$J$2299,4,0)</f>
        <v>1.55</v>
      </c>
      <c r="L157" s="93" t="str">
        <f>VLOOKUP($D157,'All data'!$E$2:$M$2281,9,0)</f>
        <v>..</v>
      </c>
    </row>
    <row r="158" spans="1:12">
      <c r="A158" s="90" t="str">
        <f t="shared" si="8"/>
        <v/>
      </c>
      <c r="B158" s="43" t="s">
        <v>150</v>
      </c>
      <c r="C158" s="43" t="str">
        <f>VLOOKUP(B158,'country codes'!$A$3:$B$287,2,0)</f>
        <v>LSO</v>
      </c>
      <c r="D158" s="91" t="str">
        <f t="shared" si="9"/>
        <v>2020LSO</v>
      </c>
      <c r="E158" s="43">
        <v>5</v>
      </c>
      <c r="F158" s="59">
        <f>VLOOKUP($D158,'All data'!$E$2:$M$2281,2,0)</f>
        <v>2142.252</v>
      </c>
      <c r="G158" s="59" t="str">
        <f>VLOOKUP($D158,'All data'!$E$2:$M$2281,4,0)</f>
        <v/>
      </c>
      <c r="H158" s="60" t="str">
        <f>VLOOKUP($D158,'All data'!$E$2:$M$2281,5,0)</f>
        <v/>
      </c>
      <c r="I158" s="60" t="str">
        <f>VLOOKUP($D158,'All data'!$E$2:$M$2281,6,0)</f>
        <v/>
      </c>
      <c r="J158" s="92" t="str">
        <f>VLOOKUP($D158,'All data'!$E$2:$M$2281,7,0)</f>
        <v/>
      </c>
      <c r="K158" s="43">
        <f>VLOOKUP($C$5,'All data'!$G$2285:$J$2299,4,0)</f>
        <v>1.55</v>
      </c>
      <c r="L158" s="93" t="str">
        <f>VLOOKUP($D158,'All data'!$E$2:$M$2281,9,0)</f>
        <v>..</v>
      </c>
    </row>
    <row r="159" spans="1:12">
      <c r="A159" s="90" t="str">
        <f t="shared" si="8"/>
        <v/>
      </c>
      <c r="B159" s="43" t="s">
        <v>153</v>
      </c>
      <c r="C159" s="43" t="str">
        <f>VLOOKUP(B159,'country codes'!$A$3:$B$287,2,0)</f>
        <v>CAF</v>
      </c>
      <c r="D159" s="91" t="str">
        <f t="shared" si="9"/>
        <v>2020CAF</v>
      </c>
      <c r="E159" s="43">
        <v>5</v>
      </c>
      <c r="F159" s="59">
        <f>VLOOKUP($D159,'All data'!$E$2:$M$2281,2,0)</f>
        <v>4829.7640000000001</v>
      </c>
      <c r="G159" s="59">
        <f>VLOOKUP($D159,'All data'!$E$2:$M$2281,4,0)</f>
        <v>53.774282568807337</v>
      </c>
      <c r="H159" s="60" t="str">
        <f>VLOOKUP($D159,'All data'!$E$2:$M$2281,5,0)</f>
        <v/>
      </c>
      <c r="I159" s="60" t="str">
        <f>VLOOKUP($D159,'All data'!$E$2:$M$2281,6,0)</f>
        <v/>
      </c>
      <c r="J159" s="92" t="str">
        <f>VLOOKUP($D159,'All data'!$E$2:$M$2281,7,0)</f>
        <v/>
      </c>
      <c r="K159" s="43">
        <f>VLOOKUP($C$5,'All data'!$G$2285:$J$2299,4,0)</f>
        <v>1.55</v>
      </c>
      <c r="L159" s="93" t="str">
        <f>VLOOKUP($D159,'All data'!$E$2:$M$2281,9,0)</f>
        <v>..</v>
      </c>
    </row>
    <row r="160" spans="1:12">
      <c r="A160" s="90" t="str">
        <f t="shared" si="8"/>
        <v/>
      </c>
      <c r="B160" s="43" t="s">
        <v>154</v>
      </c>
      <c r="C160" s="43" t="str">
        <f>VLOOKUP(B160,'country codes'!$A$3:$B$287,2,0)</f>
        <v>MNG</v>
      </c>
      <c r="D160" s="91" t="str">
        <f t="shared" si="9"/>
        <v>2020MNG</v>
      </c>
      <c r="E160" s="43">
        <v>8</v>
      </c>
      <c r="F160" s="59">
        <f>VLOOKUP($D160,'All data'!$E$2:$M$2281,2,0)</f>
        <v>3278.2919999999999</v>
      </c>
      <c r="G160" s="59" t="str">
        <f>VLOOKUP($D160,'All data'!$E$2:$M$2281,4,0)</f>
        <v/>
      </c>
      <c r="H160" s="60">
        <f>VLOOKUP($D160,'All data'!$E$2:$M$2281,5,0)</f>
        <v>6.0113649368286133</v>
      </c>
      <c r="I160" s="60">
        <f>VLOOKUP($D160,'All data'!$E$2:$M$2281,6,0)</f>
        <v>9.9497674846421695</v>
      </c>
      <c r="J160" s="92" t="str">
        <f>VLOOKUP($D160,'All data'!$E$2:$M$2281,7,0)</f>
        <v/>
      </c>
      <c r="K160" s="43">
        <f>VLOOKUP($C$5,'All data'!$G$2285:$J$2299,4,0)</f>
        <v>1.55</v>
      </c>
      <c r="L160" s="93" t="str">
        <f>VLOOKUP($D160,'All data'!$E$2:$M$2281,9,0)</f>
        <v>..</v>
      </c>
    </row>
    <row r="161" spans="1:12">
      <c r="A161" s="95" t="str">
        <f t="shared" si="8"/>
        <v/>
      </c>
      <c r="B161" s="96" t="s">
        <v>155</v>
      </c>
      <c r="C161" s="96" t="str">
        <f>VLOOKUP(B161,'country codes'!$A$3:$B$287,2,0)</f>
        <v>QAT</v>
      </c>
      <c r="D161" s="97" t="str">
        <f t="shared" si="9"/>
        <v>2020QAT</v>
      </c>
      <c r="E161" s="96">
        <v>4</v>
      </c>
      <c r="F161" s="98">
        <f>VLOOKUP($D161,'All data'!$E$2:$M$2281,2,0)</f>
        <v>2881.06</v>
      </c>
      <c r="G161" s="98">
        <f>VLOOKUP($D161,'All data'!$E$2:$M$2281,4,0)</f>
        <v>79.644205504587163</v>
      </c>
      <c r="H161" s="67" t="str">
        <f>VLOOKUP($D161,'All data'!$E$2:$M$2281,5,0)</f>
        <v/>
      </c>
      <c r="I161" s="67">
        <f>VLOOKUP($D161,'All data'!$E$2:$M$2281,6,0)</f>
        <v>12.121170250116279</v>
      </c>
      <c r="J161" s="99" t="str">
        <f>VLOOKUP($D161,'All data'!$E$2:$M$2281,7,0)</f>
        <v/>
      </c>
      <c r="K161" s="96">
        <f>VLOOKUP($C$5,'All data'!$G$2285:$J$2299,4,0)</f>
        <v>1.55</v>
      </c>
      <c r="L161" s="100" t="str">
        <f>VLOOKUP($D161,'All data'!$E$2:$M$2281,9,0)</f>
        <v>..</v>
      </c>
    </row>
  </sheetData>
  <autoFilter ref="A9:L161" xr:uid="{306DA80B-41B7-40D0-AB90-0D348B7CD9F1}">
    <sortState xmlns:xlrd2="http://schemas.microsoft.com/office/spreadsheetml/2017/richdata2" ref="A10:L161">
      <sortCondition ref="A9:A161"/>
    </sortState>
  </autoFilter>
  <mergeCells count="1">
    <mergeCell ref="A2:L3"/>
  </mergeCells>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defaultColWidth="8.81640625" defaultRowHeight="14.5"/>
  <cols>
    <col min="1" max="1" width="9.7265625" customWidth="1"/>
    <col min="2" max="2" width="21" customWidth="1"/>
    <col min="3" max="3" width="8.26953125" customWidth="1"/>
    <col min="4" max="4" width="12.7265625" customWidth="1"/>
    <col min="6" max="6" width="13.7265625" customWidth="1"/>
    <col min="7" max="7" width="15.453125" customWidth="1"/>
    <col min="8" max="8" width="19.1796875" style="10" customWidth="1"/>
    <col min="9" max="9" width="19.1796875" customWidth="1"/>
    <col min="10" max="10" width="23" customWidth="1"/>
    <col min="11" max="11" width="11" style="1" customWidth="1"/>
    <col min="12" max="12" width="12.81640625" customWidth="1"/>
    <col min="13" max="13" width="12.453125" customWidth="1"/>
  </cols>
  <sheetData>
    <row r="1" spans="1:13" ht="52.5" customHeight="1">
      <c r="A1" s="2" t="s">
        <v>2</v>
      </c>
      <c r="B1" s="2" t="s">
        <v>3</v>
      </c>
      <c r="C1" s="2" t="s">
        <v>175</v>
      </c>
      <c r="D1" s="2" t="s">
        <v>157</v>
      </c>
      <c r="E1" s="3"/>
      <c r="F1" s="2" t="s">
        <v>336</v>
      </c>
      <c r="G1" s="2" t="s">
        <v>156</v>
      </c>
      <c r="H1" s="2" t="s">
        <v>337</v>
      </c>
      <c r="I1" s="2" t="s">
        <v>338</v>
      </c>
      <c r="J1" s="2" t="s">
        <v>339</v>
      </c>
      <c r="K1" s="4" t="s">
        <v>167</v>
      </c>
      <c r="L1" s="3" t="s">
        <v>340</v>
      </c>
      <c r="M1" s="3"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19"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19"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19"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19"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19"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19"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19"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19"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19"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19"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19"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19"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19"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19"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19"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19"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19"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19"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19"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19"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19"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19"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19"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19"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19"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5.7710647583007813</v>
      </c>
      <c r="J27" s="6">
        <v>3.7434258124252788</v>
      </c>
      <c r="K27" s="12">
        <v>45.627483702751412</v>
      </c>
      <c r="L27">
        <f t="shared" si="2"/>
        <v>1.55</v>
      </c>
      <c r="M27" s="19"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19"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19"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19"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19"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5.7091751098632813</v>
      </c>
      <c r="J32" s="6">
        <v>1.8672872143705028</v>
      </c>
      <c r="K32" s="12">
        <v>55.794543398384597</v>
      </c>
      <c r="L32">
        <f t="shared" si="2"/>
        <v>1.55</v>
      </c>
      <c r="M32" s="19"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19"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19"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19"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19"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19"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19"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19"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19"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19"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19"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19"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19"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19"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19"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19"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19"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19"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19"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19"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19"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19"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19"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19"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19"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19"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19"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19"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19"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19"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19"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19"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19"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19"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19"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19"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19"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19"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19"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19"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19"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19"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19"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19"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19"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19"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19"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19"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19"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19"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19"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19"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19"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19"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19"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19"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19"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19"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19"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19"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19"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19"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19"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19"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19"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19"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19"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19"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19"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19"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19"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19"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19"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19"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19"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19"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19"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19"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19"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19"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19"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19"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19"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19"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19"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19"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19"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19"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19"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19"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19"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19"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19"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19"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19"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19"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19"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19"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19"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19"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19"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19"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19"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19"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19"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19"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19"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19"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19"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19"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19"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19"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19"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19"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19"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4.5738296508789063</v>
      </c>
      <c r="J147" s="6">
        <v>1.2877471075898113</v>
      </c>
      <c r="K147" s="12">
        <v>47.078589115465533</v>
      </c>
      <c r="L147">
        <f t="shared" si="8"/>
        <v>1.55</v>
      </c>
      <c r="M147" s="19"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19"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19"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19"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19"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19"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19"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19">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19">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19">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19">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19">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19">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19">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19">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19">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19">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19">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19">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19">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19">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19">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19">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19">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6.4511489868164063</v>
      </c>
      <c r="J171" s="6">
        <v>2.6794162879376895</v>
      </c>
      <c r="K171" s="12">
        <v>54.568922347814492</v>
      </c>
      <c r="L171">
        <f t="shared" si="8"/>
        <v>1.56</v>
      </c>
      <c r="M171" s="19">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19">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19">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19">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19">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19">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19">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19">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19">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19">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19">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19">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19">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19">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19">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19">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19">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19">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19">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19">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19">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19">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19">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19">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19">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19">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19">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19">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19">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19">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19">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19">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19">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19">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19">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19">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19">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19">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19">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19">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19">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19">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19">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19">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19">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19">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19">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19">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19">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19">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19">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19">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19">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19">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19">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19">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19">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19">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19">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19">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19">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19">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19">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19">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19">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19">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19">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19">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19">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19">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19">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19">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19">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19">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19">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19">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19">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19">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19">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19">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19">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19">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19">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19">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19">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19">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19">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19">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19">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19">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19">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19">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19">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19">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19">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19">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19">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19">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19">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19">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19">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19">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19">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19">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19">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19">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19">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19">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19">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19">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19">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19">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19">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19"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19">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19">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19">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19">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19">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19">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19">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19"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19">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19">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19">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19">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19">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19">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19">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19">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19"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19">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19"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19">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19">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19">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19">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19">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19">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19">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19">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19">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19">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19">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19">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19">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19">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19">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19">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19">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19">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19">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19">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19">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19">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19">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19">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19">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19">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19">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19">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19">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19">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19">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19">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19">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19">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19">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19">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19">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19">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19">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19">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19">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19">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19">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19">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19">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19">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19">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19">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19">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19">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19">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19">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19">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19">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19">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19">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19">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19">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5.6829605102539063</v>
      </c>
      <c r="J362" s="6">
        <v>2.9482524023380701</v>
      </c>
      <c r="K362" s="12">
        <v>46.928780215472258</v>
      </c>
      <c r="L362">
        <f t="shared" si="17"/>
        <v>1.57</v>
      </c>
      <c r="M362" s="19">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19">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19">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19">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19">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19"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19">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19">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19">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19">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19">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19">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19">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19">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19">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19">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19">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19">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19">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19">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19">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19">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19">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19">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19">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19">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19">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19">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19">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19">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19">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19"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19">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19">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19">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19">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19">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19">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19">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19">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19">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19">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19">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19">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19">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19">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19">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19">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19">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19">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19">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19">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19">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19">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19">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19">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19">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19">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19">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19">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19">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19">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19">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19">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19">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19">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19">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19"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19">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19">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19">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19">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19">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19">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19">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19">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19">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19">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19">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19">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19">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19">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19">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19">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19">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19">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19">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19">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19">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19">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19">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19">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19">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19">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19">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19">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19">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19">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6.4763565063476563</v>
      </c>
      <c r="J460" s="6">
        <v>1.7401742261622299</v>
      </c>
      <c r="K460" s="12">
        <v>59.744659750528527</v>
      </c>
      <c r="L460">
        <f t="shared" si="23"/>
        <v>1.6</v>
      </c>
      <c r="M460" s="19">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19">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19">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19">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19">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19">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19">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19">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19">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19">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19">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19">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19">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19">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19">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19">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19">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19">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19">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19">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19">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19">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19">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19">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19">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19">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19">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19">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19">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19">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19">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19">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19">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19">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19">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19">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19">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19">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19">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19">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19">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19">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19">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19">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19">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19">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19">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19">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19">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19">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19">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4.8080825805664063</v>
      </c>
      <c r="J511" s="6">
        <v>1.9264304070768601</v>
      </c>
      <c r="K511" s="12">
        <v>46.965368220774657</v>
      </c>
      <c r="L511">
        <f t="shared" si="23"/>
        <v>1.6</v>
      </c>
      <c r="M511" s="19">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19">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19">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19">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19">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19">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19">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19">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19">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19">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19">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19">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19"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19">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19">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19">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19">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19">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19">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19">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19">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19">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19">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19">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19">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19">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19">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19">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19">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19">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19"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19">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19">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19">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19">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19">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19">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19">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19">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19">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19">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19">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19">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19">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19">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19">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19">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19">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19">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19">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19">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19">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19">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19">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19">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19">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19">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19">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19">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19">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19">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19">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19">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3.9327774047851563</v>
      </c>
      <c r="J574" s="6">
        <v>0.96820124689106202</v>
      </c>
      <c r="K574" s="12">
        <v>37.994290038179201</v>
      </c>
      <c r="L574">
        <f t="shared" si="26"/>
        <v>1.6</v>
      </c>
      <c r="M574" s="19">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19">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19">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19">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19">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19">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19"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19">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19">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19">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19">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19">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19">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5.5787429809570313</v>
      </c>
      <c r="J587" s="6">
        <v>5.4750995382638896</v>
      </c>
      <c r="K587" s="12">
        <v>35.447189672762072</v>
      </c>
      <c r="L587">
        <f t="shared" si="29"/>
        <v>1.6</v>
      </c>
      <c r="M587" s="19">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19">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19">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19">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19">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19">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19">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19">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19">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4.5589370727539063</v>
      </c>
      <c r="J596" s="6">
        <v>1.6714271019743001</v>
      </c>
      <c r="K596" s="12">
        <v>31.768746858544457</v>
      </c>
      <c r="L596">
        <f t="shared" si="29"/>
        <v>1.6</v>
      </c>
      <c r="M596" s="19">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19">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19">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19">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19">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19">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19">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19">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19">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19">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19">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19">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19">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19">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19">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19">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19">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19">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19">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19">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19">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19">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19">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19">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19">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19">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19">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19">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19">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19">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19">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19">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19">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19">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19">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19">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19">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19">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19">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19">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19">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19">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19">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19">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19">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19">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19">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19">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19">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19">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19">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19">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19">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19">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19">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19">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19">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19">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19">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19">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19">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19">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19">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19">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19">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19">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19">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19">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19">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19">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19">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19">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19">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19">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19">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19">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19">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19">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19">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19">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19">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19">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19">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19">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19">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19">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19">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19">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19">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19">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19">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19">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19">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19">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19">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19">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19">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19">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19">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19">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19">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19"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19">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19">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19">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19">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19">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19">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19">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19">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19">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4.8317642211914063</v>
      </c>
      <c r="J707" s="6">
        <v>2.3128264146055502</v>
      </c>
      <c r="K707" s="12">
        <v>38.859351884885164</v>
      </c>
      <c r="L707">
        <f t="shared" si="35"/>
        <v>1.6</v>
      </c>
      <c r="M707" s="19">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19">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19">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19">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19">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19">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19">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19">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4.0411148071289063</v>
      </c>
      <c r="J715" s="6">
        <v>2.4745751909709299</v>
      </c>
      <c r="K715" s="12">
        <v>37.88709687689029</v>
      </c>
      <c r="L715">
        <f t="shared" si="35"/>
        <v>1.6</v>
      </c>
      <c r="M715" s="19"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19">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19">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19">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19">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19">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19">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19">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19">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19">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19">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19">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19">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19">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19">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19">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19">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19">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19">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19">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19">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19">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19">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19">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19">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19">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19">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19">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19">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19">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19">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19">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19">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19">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19">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19">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19">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19">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5.4984207153320313</v>
      </c>
      <c r="J753" s="6" t="s">
        <v>333</v>
      </c>
      <c r="K753" s="12" t="s">
        <v>333</v>
      </c>
      <c r="L753">
        <f t="shared" si="35"/>
        <v>1.6</v>
      </c>
      <c r="M753" s="19">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19">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19">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19">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19">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19"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19">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19">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19">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19">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19">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19">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19">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19">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19">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19">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19">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19">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19">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19">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19">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19">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19">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19">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19">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19">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19">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19">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19">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19">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19">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19">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19">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19">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19">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19">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19">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19">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19">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19">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19">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19">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19">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19">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19">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19">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19">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19">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19">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19">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19">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19">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19">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19">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19">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19">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19">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19">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19">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19">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19">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19">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19">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19">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19">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19">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19">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19">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19">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19"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19">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19">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19">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19">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19">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19">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19">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19">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4.3420791625976563</v>
      </c>
      <c r="J831" s="6">
        <v>1.1329686748674801</v>
      </c>
      <c r="K831" s="12">
        <v>44.101263315145168</v>
      </c>
      <c r="L831">
        <f t="shared" si="38"/>
        <v>1.61</v>
      </c>
      <c r="M831" s="19">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19">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19">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19">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19">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19">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19">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19">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19">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19">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19">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19">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19">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19">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19">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19">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19">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19">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19">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19">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19">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19">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19">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19">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19">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19">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19">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19">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19">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19">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19">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19">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19">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19">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19">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19">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19">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19">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19">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19">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19">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19">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19">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19">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19">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19">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19">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19">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19">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19"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19">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19">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19">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19">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19">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19">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19">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19">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19">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19">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19">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6.5683975219726563</v>
      </c>
      <c r="J892" s="6">
        <v>9.5358210608218084</v>
      </c>
      <c r="K892" s="12">
        <v>32.352321438283745</v>
      </c>
      <c r="L892">
        <f t="shared" si="41"/>
        <v>1.61</v>
      </c>
      <c r="M892" s="19">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19">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19">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19">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19">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19">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19">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19">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19">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19">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19">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19">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19">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19">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19">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19">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19">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19">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19"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19">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19">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19">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19">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19">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19">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19">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19">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19">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19">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19">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19">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19">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19">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19">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19">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19">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19">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19">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19">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19">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19">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19">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19">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19">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19">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19">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19">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19">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19">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19">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19">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7.0183792114257813</v>
      </c>
      <c r="J943" s="6">
        <v>4.8735379478587104</v>
      </c>
      <c r="K943" s="12">
        <v>50.900945321486105</v>
      </c>
      <c r="L943">
        <f t="shared" si="44"/>
        <v>1.63</v>
      </c>
      <c r="M943" s="19">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19">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19">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19">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19">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19">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19">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19">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19">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19">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19">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19">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19">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19">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19">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19">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19"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19">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19">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19">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19">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19">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19">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19">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19">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19">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19">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19">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19">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19">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19">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19">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19">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19">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19">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19">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19">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19">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19">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19">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19">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19">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19">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5.7502822875976563</v>
      </c>
      <c r="J986" s="6">
        <v>4.31564172306632</v>
      </c>
      <c r="K986" s="12">
        <v>43.822808708552266</v>
      </c>
      <c r="L986">
        <f t="shared" si="47"/>
        <v>1.63</v>
      </c>
      <c r="M986" s="19">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19">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19">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19">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19">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19">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19">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19">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19">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19">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19">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19">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19">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19">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19">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19">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19"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19">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19">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19">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19">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19">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19">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19">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19">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19">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19">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19">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19">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19">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19">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19">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19">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19">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19">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19">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19">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19">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19">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19">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19">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19">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19">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19">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19">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19">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19">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19">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19">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19">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19">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19">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19">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19">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19">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19">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19">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19">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19">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19">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19">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19">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19">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19">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19">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19">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19">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19">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19">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19">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19">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19">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19">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19">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19">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19">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19"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19">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19">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19">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19">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19">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19">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19">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19">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19">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19">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19">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19">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19">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19">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19">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19">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19">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19">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19">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19">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19">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19">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19">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19">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19">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19">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19">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19">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19">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19">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19">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19">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19">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19">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19">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19">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19">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19"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19">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19">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19">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19">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19">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19">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19">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19">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19">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19">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19">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5.4811782836914063</v>
      </c>
      <c r="J1112" s="6">
        <v>2.2615179354750801</v>
      </c>
      <c r="K1112" s="12">
        <v>47.998287715715918</v>
      </c>
      <c r="L1112">
        <f t="shared" si="53"/>
        <v>1.64</v>
      </c>
      <c r="M1112" s="19">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19">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19">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19">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19">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19">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19">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19">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19">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19">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19">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19">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19">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19">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19">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19">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19">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19">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19">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5.2439956665039063</v>
      </c>
      <c r="J1131" s="6">
        <v>0.99744521215106796</v>
      </c>
      <c r="K1131" s="12">
        <v>43.936539746050876</v>
      </c>
      <c r="L1131">
        <f t="shared" si="53"/>
        <v>1.64</v>
      </c>
      <c r="M1131" s="19">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5.7461318969726563</v>
      </c>
      <c r="J1132" s="6">
        <v>4.2516067338727401</v>
      </c>
      <c r="K1132" s="12">
        <v>43.926576133758147</v>
      </c>
      <c r="L1132">
        <f t="shared" si="53"/>
        <v>1.64</v>
      </c>
      <c r="M1132" s="19">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19">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19">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19">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19">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19">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19">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19">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19">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19">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19">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19">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19">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19">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19">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4.9144668579101563</v>
      </c>
      <c r="J1147" s="6">
        <v>3.2148816028107201</v>
      </c>
      <c r="K1147" s="12">
        <v>42.213560370997421</v>
      </c>
      <c r="L1147">
        <f t="shared" si="53"/>
        <v>1.64</v>
      </c>
      <c r="M1147" s="19">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19">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19"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19">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19">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19">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19">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19">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19">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19">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19">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19">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19">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19">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19">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19">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19">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19">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19">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19">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19">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19">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19">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19">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19">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19">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19">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19">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19">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19">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19">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19">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19">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19">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19">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19">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19">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19">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19">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19">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19">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19">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19">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19">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19">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19">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19">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19">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19">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19">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19">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19">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3.6762771606445313</v>
      </c>
      <c r="J1199" s="6">
        <v>1.4210645750633799</v>
      </c>
      <c r="K1199" s="12">
        <v>30.116313690467987</v>
      </c>
      <c r="L1199">
        <f t="shared" si="56"/>
        <v>1.64</v>
      </c>
      <c r="M1199" s="19">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19">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19">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19">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19">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19">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19">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19">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19">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19">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19">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19">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19">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19">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19">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19"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19">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19">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19">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19">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19">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19">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19">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19">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19">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19">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19">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19">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19">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19">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19">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19">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19">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19">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19">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19">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19">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19">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19">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19"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19">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19">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19">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6.5991287231445313</v>
      </c>
      <c r="J1242" s="6">
        <v>4.1496181816310198</v>
      </c>
      <c r="K1242" s="12">
        <v>50.532595671823088</v>
      </c>
      <c r="L1242">
        <f t="shared" si="59"/>
        <v>1.63</v>
      </c>
      <c r="M1242" s="19">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19">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19">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19">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19">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19">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19">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19">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19">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19">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19">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19">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5.1319961547851563</v>
      </c>
      <c r="J1254" s="6">
        <v>1.95944842021884</v>
      </c>
      <c r="K1254" s="12">
        <v>48.757711614105347</v>
      </c>
      <c r="L1254">
        <f t="shared" si="59"/>
        <v>1.63</v>
      </c>
      <c r="M1254" s="19">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19">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19">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19">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19">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19">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19">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19">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19">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19">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19">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19">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19">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19">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19">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19">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19">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19">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5.9142837524414063</v>
      </c>
      <c r="J1272" s="6">
        <v>3.8296551803875398</v>
      </c>
      <c r="K1272" s="12">
        <v>45.05617904464966</v>
      </c>
      <c r="L1272">
        <f t="shared" si="59"/>
        <v>1.63</v>
      </c>
      <c r="M1272" s="19">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19">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19">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19">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19">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19">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19">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19">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19">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19">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19">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19">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19">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19">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19">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19">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19">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19">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19">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19">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19">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19">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19">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19">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19">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19">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19">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19">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5.0949172973632813</v>
      </c>
      <c r="J1300" s="6">
        <v>3.5606504863708199</v>
      </c>
      <c r="K1300" s="12">
        <v>41.513016963769573</v>
      </c>
      <c r="L1300">
        <f t="shared" si="62"/>
        <v>1.63</v>
      </c>
      <c r="M1300" s="19">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19">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5.0303421020507813</v>
      </c>
      <c r="J1302" s="6">
        <v>2.8286316563014999</v>
      </c>
      <c r="K1302" s="12">
        <v>41.364296632315231</v>
      </c>
      <c r="L1302">
        <f t="shared" si="62"/>
        <v>1.63</v>
      </c>
      <c r="M1302" s="19">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19"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19">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19">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19">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19">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19">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19">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19">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19">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19">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19">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19">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19">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19">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19">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19">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19">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19">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19">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19">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19">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19">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19">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19">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19">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19">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19">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19">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19">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19">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19">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19">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19">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19">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19">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19">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19">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19">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19">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19">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19">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19">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19">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19">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19">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19">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19">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19">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19">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19">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19">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19">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19">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19">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19">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19">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19">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19">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19">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19">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19">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19">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19">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19"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19">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19">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19">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19">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19">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19">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19">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19">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19">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19">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19">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19">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19">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19">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19">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19">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19">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19">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19">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19">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19">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19">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19">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19">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19">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19">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19">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19">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19"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19">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19">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19">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19">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19">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19">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19">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19">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19">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19">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19">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19">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19">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19">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19">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19">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19">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7.3542251586914063</v>
      </c>
      <c r="J1413" s="6">
        <v>6.2755788170631801</v>
      </c>
      <c r="K1413" s="12">
        <v>46.676709164638261</v>
      </c>
      <c r="L1413">
        <f t="shared" si="68"/>
        <v>1.66</v>
      </c>
      <c r="M1413" s="19">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19">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19">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19">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19">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19">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19">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19">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19">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19">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19">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19">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19">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19">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19">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19">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19">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19">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19">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19">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19">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19">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19">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19">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19">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19">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19">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19">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19">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19">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19">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19">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19">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19">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19">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19">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19">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19">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19">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19">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19">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19">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19">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19">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19">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19">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19">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19">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19">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19">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19"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19">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19">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19">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19">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19">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19">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19">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19">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19">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19">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19">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19">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19">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19">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19">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19">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19">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19">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19">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19">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19">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19">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19">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19">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19">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19">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19">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19">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19">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19">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19">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19">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19">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19">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19">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19">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19">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19">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19">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19">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19">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19">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19">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19">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19">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19">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19">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19">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19">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19">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19">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19">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19">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19">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19">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19"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19">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19">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19"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19"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19"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19"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19"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19"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19"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19"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19"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19"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19"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19"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19"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19"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19"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19"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19"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19"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19"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19"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19"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19"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19"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19"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19"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19"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19"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19"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19"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19"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19"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19"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19"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19"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19"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19"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19"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19"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19"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19"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19"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19"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19"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19"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4.3832473754882813</v>
      </c>
      <c r="J1566" s="6">
        <v>1.6835035817606201</v>
      </c>
      <c r="K1566" s="12">
        <v>45.857188772757034</v>
      </c>
      <c r="L1566">
        <f t="shared" si="74"/>
        <v>1.68</v>
      </c>
      <c r="M1566" s="19"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19"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19"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19"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19"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19"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19"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7.7705154418945313</v>
      </c>
      <c r="J1573" s="6">
        <v>7.18906853766154</v>
      </c>
      <c r="K1573" s="12">
        <v>44.964416447672413</v>
      </c>
      <c r="L1573">
        <f t="shared" si="74"/>
        <v>1.68</v>
      </c>
      <c r="M1573" s="19"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19"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19"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19"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19"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19"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19"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19"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6.0522232055664063</v>
      </c>
      <c r="J1581" s="6">
        <v>4.55174001750395</v>
      </c>
      <c r="K1581" s="12">
        <v>43.474641747816733</v>
      </c>
      <c r="L1581">
        <f t="shared" si="74"/>
        <v>1.68</v>
      </c>
      <c r="M1581" s="19"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19"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19"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19"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19"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19"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19"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19"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19"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19"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19"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19"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19"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19"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19"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19"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19"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19"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19"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19"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19"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19"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19"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19"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19"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19"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19"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19"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19"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19"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19"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19"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19"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19"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19"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19"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19"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3.7659988403320313</v>
      </c>
      <c r="J1618" s="6">
        <v>0.64644156106670603</v>
      </c>
      <c r="K1618" s="12">
        <v>37.085249837730345</v>
      </c>
      <c r="L1618">
        <f t="shared" si="77"/>
        <v>1.68</v>
      </c>
      <c r="M1618" s="19"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19"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19"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19"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19"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19"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19"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19"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19"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19"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19"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19"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19"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19"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19"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19"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19"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5.3847732543945313</v>
      </c>
      <c r="J1635" s="6">
        <v>5.32347662572632</v>
      </c>
      <c r="K1635" s="12">
        <v>33.429024074755169</v>
      </c>
      <c r="L1635">
        <f t="shared" si="77"/>
        <v>1.68</v>
      </c>
      <c r="M1635" s="19"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4.0355606079101563</v>
      </c>
      <c r="J1636" s="6">
        <v>1.2655940795081499</v>
      </c>
      <c r="K1636" s="12">
        <v>33.330077017638956</v>
      </c>
      <c r="L1636">
        <f t="shared" si="77"/>
        <v>1.68</v>
      </c>
      <c r="M1636" s="19"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19"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19"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19"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19"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19"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19"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19"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19"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19"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19"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19"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19"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19"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19"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19"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19"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19"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19"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19"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19"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19"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19"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19"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19"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19"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19"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19"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19"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19"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19"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19"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19"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19"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19"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19"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19"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19"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19"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19"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19"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19"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19"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19"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7.0008316040039063</v>
      </c>
      <c r="J1680" s="6">
        <v>2.6342459348293801</v>
      </c>
      <c r="K1680" s="12">
        <v>57.130725785218672</v>
      </c>
      <c r="L1680">
        <f t="shared" si="80"/>
        <v>1.69</v>
      </c>
      <c r="M1680" s="19"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19"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19"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19"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19"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19"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19"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19"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19"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19"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19"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19"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19"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19"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19"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19"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19"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19"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19"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19"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19"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19"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19"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19"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19"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19"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19"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19"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19"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19"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19"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19"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19"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19"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19"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19"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19"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19"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19"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19"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19"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19"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19"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19"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19"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19"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19"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19"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19"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19"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19"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19"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19"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19"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19"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19"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19"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19"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19"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19"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19"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19"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19"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19"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19"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19"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19"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19"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19"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19"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19"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19"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19"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19"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19"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19"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19"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19"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19"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19"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19"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19"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19"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19"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19"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19"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19"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19"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19"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19"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19"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19"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19"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19"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19"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19"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19"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19"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19"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19"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19"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19"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19"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19"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19"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19"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19"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19"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19"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4.1971817016601563</v>
      </c>
      <c r="J1789" s="6">
        <v>1.0507866683270899</v>
      </c>
      <c r="K1789" s="12">
        <v>31.694625972305353</v>
      </c>
      <c r="L1789">
        <f t="shared" si="83"/>
        <v>1.69</v>
      </c>
      <c r="M1789" s="19"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19"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19"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19"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19"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19"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19"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19"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19"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19"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19"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19"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19"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19"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19"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19"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19"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19"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19"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19"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19"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19"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19"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19"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19"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19"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19"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19"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19"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19"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19"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19"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19"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19"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19"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19"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19"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19"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19"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19"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19"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19"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19"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19"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19"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19"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19"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19"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19"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19"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19"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19"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19"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19"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19"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19"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19"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19"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19"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19"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19"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19"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19"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19"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19"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19"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19"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19"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19"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19"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19"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19"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19"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19"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19"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19"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19"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19"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19"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19"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19"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19"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19"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19"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19"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19"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19"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19"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19"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19"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19"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19"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19"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19"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19"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19"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19"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19"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19"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19"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19"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19"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19"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19"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19"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19"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19"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19"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19"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19"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19"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19"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19"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19"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19"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19"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19"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19"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19"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19"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19"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19"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19"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19"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19"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19"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19"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19"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19"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19"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19"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19"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19"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19"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19"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19"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19"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19"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19"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19"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19"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19"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19"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19"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19"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19"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19"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19"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19"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19"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19"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19"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19"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19"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19"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19"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19"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19"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19"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19"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19"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19"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19"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19"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19"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19"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19"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19"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19"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19"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19"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19"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19"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19"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19"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19"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19"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19"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19"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19"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19"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19"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19"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19"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19"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19"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19"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19"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19"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19"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19"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19"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19"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19"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19"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19"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19"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19"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19"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19"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19"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19"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19"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19"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19"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19"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19"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19"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6.0731582641601563</v>
      </c>
      <c r="J1997" s="6">
        <v>3.2618395403657598</v>
      </c>
      <c r="K1997" s="12">
        <v>49.145119705541568</v>
      </c>
      <c r="L1997">
        <f t="shared" si="95"/>
        <v>1.72</v>
      </c>
      <c r="M1997" s="19"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19"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19"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19"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19"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19"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19"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19"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19"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19"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19"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19"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19"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19"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19"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19"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19"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19"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19"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19"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19"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19"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19"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19"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4.6977615356445313</v>
      </c>
      <c r="J2021" s="6">
        <v>1.35190017840746</v>
      </c>
      <c r="K2021" s="12">
        <v>45.080297231453748</v>
      </c>
      <c r="L2021">
        <f t="shared" si="95"/>
        <v>1.72</v>
      </c>
      <c r="M2021" s="19"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19"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19"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19"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19"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19"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19"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19"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19"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19"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19"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19"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19"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19"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19"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19"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19"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19"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19"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19"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19"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19"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19"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19"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19"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19"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19"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19"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19"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19"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19"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19"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19"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19"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19"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19"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19"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19"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19"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19"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19"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19"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19"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19"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19"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19"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19"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19"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19"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19"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19"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19"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19"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19"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19"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19"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19"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19"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19"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19"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19"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19"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19"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19"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19"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19"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19"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19"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19"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19"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19"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19"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19"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19"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19"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19"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19"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19"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19"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19"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19"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19"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19"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19"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19"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19"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19"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19"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19"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19"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19"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19"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19"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19"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19"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19"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19"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19"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19"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19"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19"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19"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19"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19"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19"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19"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19"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19"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19"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19"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19"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19"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19"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19"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19"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19"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19"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19"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19"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19"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19"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19"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19"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19"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19"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19"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19"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19"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19"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19"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19"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19"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19"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19"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19"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19"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19"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19"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19"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19"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19"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19"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19"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19"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19"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19"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19"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19"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19"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19"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19"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19"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19"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19"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19"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19"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19"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19"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19"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19"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19"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19"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19"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19"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19"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19"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19"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19"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19"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19"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19"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19"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19"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19"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19"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19"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19"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19"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19"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19"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19"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3.8014907836914063</v>
      </c>
      <c r="J2202" s="6">
        <v>1.2355072820355799</v>
      </c>
      <c r="K2202" s="12">
        <v>30.223645569574728</v>
      </c>
      <c r="L2202">
        <f t="shared" si="104"/>
        <v>1.74</v>
      </c>
      <c r="M2202" s="19"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19"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19"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19"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19"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19"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19"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19"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19"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19"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19"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19"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19"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19"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19"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19"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19"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19"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19"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19"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19"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19"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19"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19"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19"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19"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19"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19"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19"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19"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19"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19"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19"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19"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19"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19"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19"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19"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19"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19"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19"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19"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19"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19"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19"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19"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19"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19"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19"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19"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19"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19"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19"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19"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19"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19"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19"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19"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19"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19"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19"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19"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19"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19"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19"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19"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19"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19"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19"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19"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19"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19"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19"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19"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19"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19"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19"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19"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19"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19"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zoomScale="85" zoomScaleNormal="85" workbookViewId="0">
      <selection activeCell="B7" sqref="B7:D7"/>
    </sheetView>
  </sheetViews>
  <sheetFormatPr defaultColWidth="8.81640625" defaultRowHeight="14"/>
  <cols>
    <col min="1" max="1" width="4.26953125" style="43" customWidth="1"/>
    <col min="2" max="2" width="13.453125" style="43" customWidth="1"/>
    <col min="3" max="5" width="13.1796875" style="43" customWidth="1"/>
    <col min="6" max="6" width="8.81640625" style="43"/>
    <col min="7" max="7" width="8.1796875" style="43" customWidth="1"/>
    <col min="8" max="8" width="8.81640625" style="43"/>
    <col min="9" max="12" width="11.81640625" style="43" customWidth="1"/>
    <col min="13" max="16384" width="8.81640625" style="43"/>
  </cols>
  <sheetData>
    <row r="1" spans="1:8" s="81" customFormat="1" ht="25">
      <c r="B1" s="84" t="s">
        <v>369</v>
      </c>
    </row>
    <row r="2" spans="1:8" ht="17.5">
      <c r="B2" s="112" t="s">
        <v>388</v>
      </c>
    </row>
    <row r="4" spans="1:8" ht="19">
      <c r="A4" s="80" t="s">
        <v>356</v>
      </c>
      <c r="B4" s="49"/>
      <c r="C4" s="49"/>
      <c r="D4" s="49"/>
      <c r="E4" s="49"/>
    </row>
    <row r="5" spans="1:8" ht="14.5" thickBot="1"/>
    <row r="6" spans="1:8" ht="18">
      <c r="B6" s="50" t="s">
        <v>171</v>
      </c>
      <c r="C6" s="51"/>
      <c r="D6" s="52"/>
      <c r="E6" s="43" t="s">
        <v>331</v>
      </c>
    </row>
    <row r="7" spans="1:8" ht="18.5" thickBot="1">
      <c r="B7" s="180" t="s">
        <v>136</v>
      </c>
      <c r="C7" s="181"/>
      <c r="D7" s="182"/>
      <c r="E7" s="43" t="str">
        <f>VLOOKUP(B7,'country codes'!$A$3:$B$287,2,0)</f>
        <v>USA</v>
      </c>
    </row>
    <row r="9" spans="1:8" ht="14.5">
      <c r="B9" s="73" t="s">
        <v>344</v>
      </c>
    </row>
    <row r="10" spans="1:8" ht="42">
      <c r="B10" s="53"/>
      <c r="C10" s="54" t="s">
        <v>366</v>
      </c>
      <c r="D10" s="54" t="s">
        <v>367</v>
      </c>
      <c r="E10" s="54" t="s">
        <v>368</v>
      </c>
      <c r="F10" s="55" t="s">
        <v>167</v>
      </c>
      <c r="G10" s="56" t="s">
        <v>332</v>
      </c>
      <c r="H10" s="57" t="s">
        <v>361</v>
      </c>
    </row>
    <row r="11" spans="1:8">
      <c r="B11" s="58">
        <v>2006</v>
      </c>
      <c r="C11" s="59">
        <f>VLOOKUP($B11&amp;$E$7,'All data'!$E$2:$K$2281,4,0)</f>
        <v>77.900000000000006</v>
      </c>
      <c r="D11" s="60">
        <f>VLOOKUP($B11&amp;$E$7,'All data'!$E$2:$K$2281,5,0)</f>
        <v>7.1817936897277832</v>
      </c>
      <c r="E11" s="60">
        <f>VLOOKUP($B11&amp;$E$7,'All data'!$E$2:$K$2281,6,0)</f>
        <v>10.121006531216199</v>
      </c>
      <c r="F11" s="61">
        <f>VLOOKUP($B11&amp;$E$7,'All data'!$E$2:$K$2281,7,0)</f>
        <v>34.280753505687592</v>
      </c>
      <c r="G11" s="62"/>
      <c r="H11" s="63">
        <v>1.74</v>
      </c>
    </row>
    <row r="12" spans="1:8">
      <c r="B12" s="64">
        <v>2007</v>
      </c>
      <c r="C12" s="59">
        <f>VLOOKUP($B12&amp;$E$7,'All data'!$E$2:$K$2281,4,0)</f>
        <v>78.099999999999994</v>
      </c>
      <c r="D12" s="60">
        <f>VLOOKUP($B12&amp;$E$7,'All data'!$E$2:$K$2281,5,0)</f>
        <v>7.5126876831054688</v>
      </c>
      <c r="E12" s="60">
        <f>VLOOKUP($B12&amp;$E$7,'All data'!$E$2:$K$2281,6,0)</f>
        <v>9.9407184262729409</v>
      </c>
      <c r="F12" s="61">
        <f>VLOOKUP($B12&amp;$E$7,'All data'!$E$2:$K$2281,7,0)</f>
        <v>35.923464985873309</v>
      </c>
      <c r="G12" s="62">
        <f>IF(ISNUMBER(F12),COUNTIFS('All data'!$G$2:$G$2281,B12,'All data'!$K$2:$K$2281,"&gt;"&amp;F12)+1,"")</f>
        <v>90</v>
      </c>
      <c r="H12" s="63">
        <v>1.72</v>
      </c>
    </row>
    <row r="13" spans="1:8">
      <c r="B13" s="64">
        <v>2008</v>
      </c>
      <c r="C13" s="59">
        <f>VLOOKUP($B13&amp;$E$7,'All data'!$E$2:$K$2281,4,0)</f>
        <v>78.3</v>
      </c>
      <c r="D13" s="60">
        <f>VLOOKUP($B13&amp;$E$7,'All data'!$E$2:$K$2281,5,0)</f>
        <v>7.2803859710693359</v>
      </c>
      <c r="E13" s="60">
        <f>VLOOKUP($B13&amp;$E$7,'All data'!$E$2:$K$2281,6,0)</f>
        <v>9.3638085902328108</v>
      </c>
      <c r="F13" s="61">
        <f>VLOOKUP($B13&amp;$E$7,'All data'!$E$2:$K$2281,7,0)</f>
        <v>36.430840995334179</v>
      </c>
      <c r="G13" s="62">
        <f>IF(ISNUMBER(F13),COUNTIFS('All data'!$G$2:$G$2281,B13,'All data'!$K$2:$K$2281,"&gt;"&amp;F13)+1,"")</f>
        <v>91</v>
      </c>
      <c r="H13" s="63">
        <v>1.72</v>
      </c>
    </row>
    <row r="14" spans="1:8">
      <c r="B14" s="64">
        <v>2009</v>
      </c>
      <c r="C14" s="59">
        <f>VLOOKUP($B14&amp;$E$7,'All data'!$E$2:$K$2281,4,0)</f>
        <v>78.5</v>
      </c>
      <c r="D14" s="60">
        <f>VLOOKUP($B14&amp;$E$7,'All data'!$E$2:$K$2281,5,0)</f>
        <v>7.1580324172973633</v>
      </c>
      <c r="E14" s="60">
        <f>VLOOKUP($B14&amp;$E$7,'All data'!$E$2:$K$2281,6,0)</f>
        <v>8.5357844041530502</v>
      </c>
      <c r="F14" s="61">
        <f>VLOOKUP($B14&amp;$E$7,'All data'!$E$2:$K$2281,7,0)</f>
        <v>37.91069210195414</v>
      </c>
      <c r="G14" s="62">
        <f>IF(ISNUMBER(F14),COUNTIFS('All data'!$G$2:$G$2281,B14,'All data'!$K$2:$K$2281,"&gt;"&amp;F14)+1,"")</f>
        <v>96</v>
      </c>
      <c r="H14" s="63">
        <v>1.69</v>
      </c>
    </row>
    <row r="15" spans="1:8">
      <c r="B15" s="64">
        <v>2010</v>
      </c>
      <c r="C15" s="59">
        <f>VLOOKUP($B15&amp;$E$7,'All data'!$E$2:$K$2281,4,0)</f>
        <v>78.7</v>
      </c>
      <c r="D15" s="60">
        <f>VLOOKUP($B15&amp;$E$7,'All data'!$E$2:$K$2281,5,0)</f>
        <v>7.1636161804199219</v>
      </c>
      <c r="E15" s="60">
        <f>VLOOKUP($B15&amp;$E$7,'All data'!$E$2:$K$2281,6,0)</f>
        <v>8.8734547672722996</v>
      </c>
      <c r="F15" s="61">
        <f>VLOOKUP($B15&amp;$E$7,'All data'!$E$2:$K$2281,7,0)</f>
        <v>37.152465973636808</v>
      </c>
      <c r="G15" s="62">
        <f>IF(ISNUMBER(F15),COUNTIFS('All data'!$G$2:$G$2281,B15,'All data'!$K$2:$K$2281,"&gt;"&amp;F15)+1,"")</f>
        <v>96</v>
      </c>
      <c r="H15" s="63">
        <v>1.68</v>
      </c>
    </row>
    <row r="16" spans="1:8">
      <c r="B16" s="64">
        <v>2011</v>
      </c>
      <c r="C16" s="59">
        <f>VLOOKUP($B16&amp;$E$7,'All data'!$E$2:$K$2281,4,0)</f>
        <v>78.8</v>
      </c>
      <c r="D16" s="60">
        <f>VLOOKUP($B16&amp;$E$7,'All data'!$E$2:$K$2281,5,0)</f>
        <v>7.1151385307312012</v>
      </c>
      <c r="E16" s="60">
        <f>VLOOKUP($B16&amp;$E$7,'All data'!$E$2:$K$2281,6,0)</f>
        <v>8.4146199591336295</v>
      </c>
      <c r="F16" s="61">
        <f>VLOOKUP($B16&amp;$E$7,'All data'!$E$2:$K$2281,7,0)</f>
        <v>38.060131428916755</v>
      </c>
      <c r="G16" s="62">
        <f>IF(ISNUMBER(F16),COUNTIFS('All data'!$G$2:$G$2281,B16,'All data'!$K$2:$K$2281,"&gt;"&amp;F16)+1,"")</f>
        <v>101</v>
      </c>
      <c r="H16" s="63">
        <v>1.66</v>
      </c>
    </row>
    <row r="17" spans="2:18">
      <c r="B17" s="64">
        <v>2012</v>
      </c>
      <c r="C17" s="59">
        <f>VLOOKUP($B17&amp;$E$7,'All data'!$E$2:$K$2281,4,0)</f>
        <v>78.900000000000006</v>
      </c>
      <c r="D17" s="60">
        <f>VLOOKUP($B17&amp;$E$7,'All data'!$E$2:$K$2281,5,0)</f>
        <v>7.0262269973754883</v>
      </c>
      <c r="E17" s="60">
        <f>VLOOKUP($B17&amp;$E$7,'All data'!$E$2:$K$2281,6,0)</f>
        <v>8.0449959758107497</v>
      </c>
      <c r="F17" s="61">
        <f>VLOOKUP($B17&amp;$E$7,'All data'!$E$2:$K$2281,7,0)</f>
        <v>38.563666506404303</v>
      </c>
      <c r="G17" s="62">
        <f>IF(ISNUMBER(F17),COUNTIFS('All data'!$G$2:$G$2281,B17,'All data'!$K$2:$K$2281,"&gt;"&amp;F17)+1,"")</f>
        <v>101</v>
      </c>
      <c r="H17" s="63">
        <v>1.63</v>
      </c>
    </row>
    <row r="18" spans="2:18">
      <c r="B18" s="64">
        <v>2013</v>
      </c>
      <c r="C18" s="59">
        <f>VLOOKUP($B18&amp;$E$7,'All data'!$E$2:$K$2281,4,0)</f>
        <v>78.900000000000006</v>
      </c>
      <c r="D18" s="60">
        <f>VLOOKUP($B18&amp;$E$7,'All data'!$E$2:$K$2281,5,0)</f>
        <v>7.2492852210998535</v>
      </c>
      <c r="E18" s="60">
        <f>VLOOKUP($B18&amp;$E$7,'All data'!$E$2:$K$2281,6,0)</f>
        <v>8.2680114496936792</v>
      </c>
      <c r="F18" s="61">
        <f>VLOOKUP($B18&amp;$E$7,'All data'!$E$2:$K$2281,7,0)</f>
        <v>38.96445961204374</v>
      </c>
      <c r="G18" s="62">
        <f>IF(ISNUMBER(F18),COUNTIFS('All data'!$G$2:$G$2281,B18,'All data'!$K$2:$K$2281,"&gt;"&amp;F18)+1,"")</f>
        <v>95</v>
      </c>
      <c r="H18" s="63">
        <v>1.64</v>
      </c>
    </row>
    <row r="19" spans="2:18">
      <c r="B19" s="64">
        <v>2014</v>
      </c>
      <c r="C19" s="59">
        <f>VLOOKUP($B19&amp;$E$7,'All data'!$E$2:$K$2281,4,0)</f>
        <v>78.900000000000006</v>
      </c>
      <c r="D19" s="60">
        <f>VLOOKUP($B19&amp;$E$7,'All data'!$E$2:$K$2281,5,0)</f>
        <v>7.1511144638061523</v>
      </c>
      <c r="E19" s="60">
        <f>VLOOKUP($B19&amp;$E$7,'All data'!$E$2:$K$2281,6,0)</f>
        <v>8.2230994289667496</v>
      </c>
      <c r="F19" s="61">
        <f>VLOOKUP($B19&amp;$E$7,'All data'!$E$2:$K$2281,7,0)</f>
        <v>38.620954928680483</v>
      </c>
      <c r="G19" s="62">
        <f>IF(ISNUMBER(F19),COUNTIFS('All data'!$G$2:$G$2281,B19,'All data'!$K$2:$K$2281,"&gt;"&amp;F19)+1,"")</f>
        <v>101</v>
      </c>
      <c r="H19" s="63">
        <v>1.63</v>
      </c>
    </row>
    <row r="20" spans="2:18">
      <c r="B20" s="64">
        <v>2015</v>
      </c>
      <c r="C20" s="59">
        <f>VLOOKUP($B20&amp;$E$7,'All data'!$E$2:$K$2281,4,0)</f>
        <v>78.900000000000006</v>
      </c>
      <c r="D20" s="60">
        <f>VLOOKUP($B20&amp;$E$7,'All data'!$E$2:$K$2281,5,0)</f>
        <v>6.8639469146728516</v>
      </c>
      <c r="E20" s="60">
        <f>VLOOKUP($B20&amp;$E$7,'All data'!$E$2:$K$2281,6,0)</f>
        <v>8.0689038623180007</v>
      </c>
      <c r="F20" s="61">
        <f>VLOOKUP($B20&amp;$E$7,'All data'!$E$2:$K$2281,7,0)</f>
        <v>37.712906257905736</v>
      </c>
      <c r="G20" s="62">
        <f>IF(ISNUMBER(F20),COUNTIFS('All data'!$G$2:$G$2281,B20,'All data'!$K$2:$K$2281,"&gt;"&amp;F20)+1,"")</f>
        <v>105</v>
      </c>
      <c r="H20" s="63">
        <v>1.61</v>
      </c>
    </row>
    <row r="21" spans="2:18">
      <c r="B21" s="64">
        <v>2016</v>
      </c>
      <c r="C21" s="59">
        <f>VLOOKUP($B21&amp;$E$7,'All data'!$E$2:$K$2281,4,0)</f>
        <v>78.900000000000006</v>
      </c>
      <c r="D21" s="60">
        <f>VLOOKUP($B21&amp;$E$7,'All data'!$E$2:$K$2281,5,0)</f>
        <v>6.8035998344421387</v>
      </c>
      <c r="E21" s="60">
        <f>VLOOKUP($B21&amp;$E$7,'All data'!$E$2:$K$2281,6,0)</f>
        <v>8.1661012563761393</v>
      </c>
      <c r="F21" s="61">
        <f>VLOOKUP($B21&amp;$E$7,'All data'!$E$2:$K$2281,7,0)</f>
        <v>37.159267538700938</v>
      </c>
      <c r="G21" s="62">
        <f>IF(ISNUMBER(F21),COUNTIFS('All data'!$G$2:$G$2281,B21,'All data'!$K$2:$K$2281,"&gt;"&amp;F21)+1,"")</f>
        <v>108</v>
      </c>
      <c r="H21" s="63">
        <v>1.6</v>
      </c>
    </row>
    <row r="22" spans="2:18">
      <c r="B22" s="64">
        <v>2017</v>
      </c>
      <c r="C22" s="59">
        <f>VLOOKUP($B22&amp;$E$7,'All data'!$E$2:$K$2281,4,0)</f>
        <v>78.900000000000006</v>
      </c>
      <c r="D22" s="60">
        <f>VLOOKUP($B22&amp;$E$7,'All data'!$E$2:$K$2281,5,0)</f>
        <v>6.9917593002319336</v>
      </c>
      <c r="E22" s="60">
        <f>VLOOKUP($B22&amp;$E$7,'All data'!$E$2:$K$2281,6,0)</f>
        <v>8.0361614432144997</v>
      </c>
      <c r="F22" s="61">
        <f>VLOOKUP($B22&amp;$E$7,'All data'!$E$2:$K$2281,7,0)</f>
        <v>38.295979715478353</v>
      </c>
      <c r="G22" s="62">
        <f>IF(ISNUMBER(F22),COUNTIFS('All data'!$G$2:$G$2281,B22,'All data'!$K$2:$K$2281,"&gt;"&amp;F22)+1,"")</f>
        <v>115</v>
      </c>
      <c r="H22" s="63">
        <v>1.6</v>
      </c>
    </row>
    <row r="23" spans="2:18">
      <c r="B23" s="64">
        <v>2018</v>
      </c>
      <c r="C23" s="59">
        <f>VLOOKUP($B23&amp;$E$7,'All data'!$E$2:$K$2281,4,0)</f>
        <v>78.900000000000006</v>
      </c>
      <c r="D23" s="60">
        <f>VLOOKUP($B23&amp;$E$7,'All data'!$E$2:$K$2281,5,0)</f>
        <v>6.8826847076416016</v>
      </c>
      <c r="E23" s="60">
        <f>VLOOKUP($B23&amp;$E$7,'All data'!$E$2:$K$2281,6,0)</f>
        <v>8.1501431840223724</v>
      </c>
      <c r="F23" s="61">
        <f>VLOOKUP($B23&amp;$E$7,'All data'!$E$2:$K$2281,7,0)</f>
        <v>37.393473496724795</v>
      </c>
      <c r="G23" s="62">
        <f>IF(ISNUMBER(F23),COUNTIFS('All data'!$G$2:$G$2281,B23,'All data'!$K$2:$K$2281,"&gt;"&amp;F23)+1,"")</f>
        <v>120</v>
      </c>
      <c r="H23" s="63">
        <v>1.57</v>
      </c>
    </row>
    <row r="24" spans="2:18">
      <c r="B24" s="64">
        <v>2019</v>
      </c>
      <c r="C24" s="59">
        <f>VLOOKUP($B24&amp;$E$7,'All data'!$E$2:$K$2281,4,0)</f>
        <v>78.900000000000006</v>
      </c>
      <c r="D24" s="60">
        <f>VLOOKUP($B24&amp;$E$7,'All data'!$E$2:$K$2281,5,0)</f>
        <v>6.9437012672424316</v>
      </c>
      <c r="E24" s="60">
        <f>VLOOKUP($B24&amp;$E$7,'All data'!$E$2:$K$2281,6,0)</f>
        <v>8.211274219959904</v>
      </c>
      <c r="F24" s="61">
        <f>VLOOKUP($B24&amp;$E$7,'All data'!$E$2:$K$2281,7,0)</f>
        <v>37.445715927397565</v>
      </c>
      <c r="G24" s="62">
        <f>IF(ISNUMBER(F24),COUNTIFS('All data'!$G$2:$G$2281,B24,'All data'!$K$2:$K$2281,"&gt;"&amp;F24)+1,"")</f>
        <v>122</v>
      </c>
      <c r="H24" s="63">
        <v>1.56</v>
      </c>
    </row>
    <row r="25" spans="2:18">
      <c r="B25" s="65">
        <v>2020</v>
      </c>
      <c r="C25" s="66">
        <f>VLOOKUP($B25&amp;$E$7,'All data'!$E$2:$K$2281,4,0)</f>
        <v>77.400000000000006</v>
      </c>
      <c r="D25" s="67">
        <f>VLOOKUP($B25&amp;$E$7,'All data'!$E$2:$K$2281,5,0)</f>
        <v>7.0280880928039551</v>
      </c>
      <c r="E25" s="67">
        <f>VLOOKUP($B25&amp;$E$7,'All data'!$E$2:$K$2281,6,0)</f>
        <v>7.2027418168371486</v>
      </c>
      <c r="F25" s="68">
        <f>VLOOKUP($B25&amp;$E$7,'All data'!$E$2:$K$2281,7,0)</f>
        <v>39.703526706096689</v>
      </c>
      <c r="G25" s="69"/>
      <c r="H25" s="63">
        <v>1.55</v>
      </c>
    </row>
    <row r="28" spans="2:18" ht="44.15" customHeight="1">
      <c r="B28" s="70" t="s">
        <v>174</v>
      </c>
      <c r="C28" s="71">
        <f>SLOPE(C11:C25,$B$11:$B$25)</f>
        <v>2.3928571428571997E-2</v>
      </c>
      <c r="D28" s="71">
        <f>SLOPE(D11:D25,$B$11:$B$25)</f>
        <v>-3.0717861652374268E-2</v>
      </c>
      <c r="E28" s="71">
        <f>SLOPE(E11:E25,$B$11:$B$25)</f>
        <v>-0.1482383085232204</v>
      </c>
      <c r="F28" s="72">
        <f>SLOPE(F11:F25,$B$11:$B$25)</f>
        <v>0.1886802635303774</v>
      </c>
    </row>
    <row r="30" spans="2:18" ht="15" customHeight="1">
      <c r="B30" s="179" t="s">
        <v>390</v>
      </c>
      <c r="C30" s="179"/>
      <c r="D30" s="179"/>
      <c r="E30" s="179"/>
      <c r="F30" s="179"/>
      <c r="G30" s="179"/>
      <c r="H30" s="179"/>
      <c r="I30" s="179"/>
      <c r="J30" s="179"/>
      <c r="K30" s="179"/>
      <c r="L30" s="179"/>
      <c r="M30" s="179"/>
      <c r="N30" s="179"/>
      <c r="O30" s="179"/>
      <c r="P30" s="179"/>
      <c r="Q30" s="179"/>
      <c r="R30" s="74"/>
    </row>
    <row r="31" spans="2:18" ht="36" customHeight="1">
      <c r="B31" s="179"/>
      <c r="C31" s="179"/>
      <c r="D31" s="179"/>
      <c r="E31" s="179"/>
      <c r="F31" s="179"/>
      <c r="G31" s="179"/>
      <c r="H31" s="179"/>
      <c r="I31" s="179"/>
      <c r="J31" s="179"/>
      <c r="K31" s="179"/>
      <c r="L31" s="179"/>
      <c r="M31" s="179"/>
      <c r="N31" s="179"/>
      <c r="O31" s="179"/>
      <c r="P31" s="179"/>
      <c r="Q31" s="179"/>
      <c r="R31" s="74"/>
    </row>
    <row r="32" spans="2:18">
      <c r="I32" s="74"/>
      <c r="J32" s="74"/>
      <c r="K32" s="74"/>
      <c r="L32" s="74"/>
      <c r="M32" s="74"/>
      <c r="N32" s="74"/>
      <c r="O32" s="74"/>
      <c r="P32" s="74"/>
      <c r="Q32" s="74"/>
      <c r="R32" s="74"/>
    </row>
    <row r="33" spans="2:18" ht="14.5">
      <c r="B33" s="73" t="s">
        <v>357</v>
      </c>
      <c r="I33" s="74"/>
      <c r="J33" s="74"/>
      <c r="K33" s="74"/>
      <c r="L33" s="74"/>
      <c r="M33" s="74"/>
      <c r="N33" s="74"/>
      <c r="O33" s="74"/>
      <c r="P33" s="74"/>
      <c r="Q33" s="74"/>
      <c r="R33" s="74"/>
    </row>
    <row r="34" spans="2:18">
      <c r="B34" s="43" t="s">
        <v>173</v>
      </c>
      <c r="C34" s="60">
        <v>72.071378289473657</v>
      </c>
      <c r="D34" s="60">
        <v>5.4187128611696505</v>
      </c>
      <c r="E34" s="60">
        <v>3.1879510716378019</v>
      </c>
      <c r="F34" s="60">
        <v>42.731843594241042</v>
      </c>
    </row>
    <row r="35" spans="2:18">
      <c r="B35" s="43" t="s">
        <v>172</v>
      </c>
      <c r="C35" s="60">
        <v>8.7578442566529411</v>
      </c>
      <c r="D35" s="60">
        <v>1.1249771790903924</v>
      </c>
      <c r="E35" s="60">
        <v>2.5333371833785616</v>
      </c>
      <c r="F35" s="60">
        <v>8.6978750014987192</v>
      </c>
    </row>
    <row r="37" spans="2:18" ht="19">
      <c r="B37" s="82" t="s">
        <v>335</v>
      </c>
      <c r="C37" s="83"/>
      <c r="D37" s="83"/>
      <c r="E37" s="83"/>
      <c r="F37" s="83"/>
    </row>
    <row r="38" spans="2:18" ht="28">
      <c r="C38" s="75" t="s">
        <v>169</v>
      </c>
      <c r="D38" s="75" t="s">
        <v>168</v>
      </c>
      <c r="E38" s="75" t="s">
        <v>170</v>
      </c>
      <c r="F38" s="75" t="s">
        <v>167</v>
      </c>
    </row>
    <row r="39" spans="2:18">
      <c r="B39" s="76">
        <v>2006</v>
      </c>
      <c r="C39" s="77">
        <f t="shared" ref="C39:F53" si="0">IF(ISNUMBER(C11),(C11-C$34)/C$35,NA())</f>
        <v>0.66553155545082987</v>
      </c>
      <c r="D39" s="77">
        <f t="shared" si="0"/>
        <v>1.5672147500660263</v>
      </c>
      <c r="E39" s="77">
        <f t="shared" si="0"/>
        <v>2.7367282590990092</v>
      </c>
      <c r="F39" s="77">
        <f t="shared" si="0"/>
        <v>-0.97162698786741053</v>
      </c>
    </row>
    <row r="40" spans="2:18">
      <c r="B40" s="76">
        <v>2007</v>
      </c>
      <c r="C40" s="77">
        <f t="shared" si="0"/>
        <v>0.68836822554210919</v>
      </c>
      <c r="D40" s="77">
        <f t="shared" si="0"/>
        <v>1.8613487107613287</v>
      </c>
      <c r="E40" s="77">
        <f t="shared" si="0"/>
        <v>2.6655620100398059</v>
      </c>
      <c r="F40" s="77">
        <f t="shared" si="0"/>
        <v>-0.78276344592151414</v>
      </c>
    </row>
    <row r="41" spans="2:18">
      <c r="B41" s="76">
        <v>2008</v>
      </c>
      <c r="C41" s="77">
        <f t="shared" si="0"/>
        <v>0.71120489563339018</v>
      </c>
      <c r="D41" s="77">
        <f t="shared" si="0"/>
        <v>1.6548541112673534</v>
      </c>
      <c r="E41" s="77">
        <f t="shared" si="0"/>
        <v>2.4378347892713728</v>
      </c>
      <c r="F41" s="77">
        <f t="shared" si="0"/>
        <v>-0.72443011630095222</v>
      </c>
    </row>
    <row r="42" spans="2:18">
      <c r="B42" s="76">
        <v>2009</v>
      </c>
      <c r="C42" s="77">
        <f t="shared" si="0"/>
        <v>0.73404156572467116</v>
      </c>
      <c r="D42" s="77">
        <f t="shared" si="0"/>
        <v>1.5460931905605861</v>
      </c>
      <c r="E42" s="77">
        <f t="shared" si="0"/>
        <v>2.1109836336050458</v>
      </c>
      <c r="F42" s="77">
        <f t="shared" si="0"/>
        <v>-0.55429073094936121</v>
      </c>
    </row>
    <row r="43" spans="2:18">
      <c r="B43" s="76">
        <v>2010</v>
      </c>
      <c r="C43" s="77">
        <f t="shared" si="0"/>
        <v>0.75687823581595204</v>
      </c>
      <c r="D43" s="77">
        <f t="shared" si="0"/>
        <v>1.5510566362431675</v>
      </c>
      <c r="E43" s="77">
        <f t="shared" si="0"/>
        <v>2.2442743638460629</v>
      </c>
      <c r="F43" s="77">
        <f t="shared" si="0"/>
        <v>-0.64146445190840962</v>
      </c>
    </row>
    <row r="44" spans="2:18">
      <c r="B44" s="76">
        <v>2011</v>
      </c>
      <c r="C44" s="77">
        <f t="shared" si="0"/>
        <v>0.76829657086159175</v>
      </c>
      <c r="D44" s="77">
        <f t="shared" si="0"/>
        <v>1.5079645179408943</v>
      </c>
      <c r="E44" s="77">
        <f t="shared" si="0"/>
        <v>2.0631556358894674</v>
      </c>
      <c r="F44" s="77">
        <f t="shared" si="0"/>
        <v>-0.53710960027814958</v>
      </c>
    </row>
    <row r="45" spans="2:18">
      <c r="B45" s="76">
        <v>2012</v>
      </c>
      <c r="C45" s="77">
        <f t="shared" si="0"/>
        <v>0.77971490590723302</v>
      </c>
      <c r="D45" s="77">
        <f t="shared" si="0"/>
        <v>1.4289304406206744</v>
      </c>
      <c r="E45" s="77">
        <f t="shared" si="0"/>
        <v>1.9172516536844872</v>
      </c>
      <c r="F45" s="77">
        <f t="shared" si="0"/>
        <v>-0.47921786495190216</v>
      </c>
    </row>
    <row r="46" spans="2:18">
      <c r="B46" s="76">
        <v>2013</v>
      </c>
      <c r="C46" s="77">
        <f t="shared" si="0"/>
        <v>0.77971490590723302</v>
      </c>
      <c r="D46" s="77">
        <f t="shared" si="0"/>
        <v>1.6272084393839208</v>
      </c>
      <c r="E46" s="77">
        <f t="shared" si="0"/>
        <v>2.0052839437981573</v>
      </c>
      <c r="F46" s="77">
        <f t="shared" si="0"/>
        <v>-0.4331384368651135</v>
      </c>
    </row>
    <row r="47" spans="2:18">
      <c r="B47" s="76">
        <v>2014</v>
      </c>
      <c r="C47" s="77">
        <f t="shared" si="0"/>
        <v>0.77971490590723302</v>
      </c>
      <c r="D47" s="77">
        <f t="shared" si="0"/>
        <v>1.5399437738259245</v>
      </c>
      <c r="E47" s="77">
        <f t="shared" si="0"/>
        <v>1.9875555415066657</v>
      </c>
      <c r="F47" s="77">
        <f t="shared" si="0"/>
        <v>-0.47263138006147676</v>
      </c>
    </row>
    <row r="48" spans="2:18">
      <c r="B48" s="76">
        <v>2015</v>
      </c>
      <c r="C48" s="77">
        <f t="shared" si="0"/>
        <v>0.77971490590723302</v>
      </c>
      <c r="D48" s="77">
        <f t="shared" si="0"/>
        <v>1.2846785520322772</v>
      </c>
      <c r="E48" s="77">
        <f t="shared" si="0"/>
        <v>1.9266889629633754</v>
      </c>
      <c r="F48" s="77">
        <f t="shared" si="0"/>
        <v>-0.57703029021117214</v>
      </c>
    </row>
    <row r="49" spans="2:6">
      <c r="B49" s="76">
        <v>2016</v>
      </c>
      <c r="C49" s="77">
        <f t="shared" si="0"/>
        <v>0.77971490590723302</v>
      </c>
      <c r="D49" s="77">
        <f t="shared" si="0"/>
        <v>1.2310356147777572</v>
      </c>
      <c r="E49" s="77">
        <f t="shared" si="0"/>
        <v>1.9650562970458099</v>
      </c>
      <c r="F49" s="77">
        <f t="shared" si="0"/>
        <v>-0.64068247181982962</v>
      </c>
    </row>
    <row r="50" spans="2:6">
      <c r="B50" s="76">
        <v>2017</v>
      </c>
      <c r="C50" s="77">
        <f t="shared" si="0"/>
        <v>0.77971490590723302</v>
      </c>
      <c r="D50" s="77">
        <f t="shared" si="0"/>
        <v>1.398291866092946</v>
      </c>
      <c r="E50" s="77">
        <f t="shared" si="0"/>
        <v>1.9137643434858236</v>
      </c>
      <c r="F50" s="77">
        <f t="shared" si="0"/>
        <v>-0.50999397875899011</v>
      </c>
    </row>
    <row r="51" spans="2:6">
      <c r="B51" s="76">
        <v>2018</v>
      </c>
      <c r="C51" s="77">
        <f t="shared" si="0"/>
        <v>0.77971490590723302</v>
      </c>
      <c r="D51" s="77">
        <f t="shared" si="0"/>
        <v>1.3013347058787939</v>
      </c>
      <c r="E51" s="77">
        <f t="shared" si="0"/>
        <v>1.9587570675320802</v>
      </c>
      <c r="F51" s="77">
        <f t="shared" si="0"/>
        <v>-0.61375566981548935</v>
      </c>
    </row>
    <row r="52" spans="2:6">
      <c r="B52" s="76">
        <v>2019</v>
      </c>
      <c r="C52" s="77">
        <f t="shared" si="0"/>
        <v>0.77971490590723302</v>
      </c>
      <c r="D52" s="77">
        <f t="shared" si="0"/>
        <v>1.3555727479786039</v>
      </c>
      <c r="E52" s="77">
        <f t="shared" si="0"/>
        <v>1.9828877029400382</v>
      </c>
      <c r="F52" s="77">
        <f t="shared" si="0"/>
        <v>-0.60774932566088058</v>
      </c>
    </row>
    <row r="53" spans="2:6">
      <c r="B53" s="76">
        <v>2020</v>
      </c>
      <c r="C53" s="77">
        <f t="shared" si="0"/>
        <v>0.60843988022262829</v>
      </c>
      <c r="D53" s="77">
        <f t="shared" si="0"/>
        <v>1.4305847812269181</v>
      </c>
      <c r="E53" s="77">
        <f t="shared" si="0"/>
        <v>1.5847834119913951</v>
      </c>
      <c r="F53" s="77">
        <f t="shared" si="0"/>
        <v>-0.34816744177428943</v>
      </c>
    </row>
    <row r="54" spans="2:6" ht="14.5">
      <c r="B54" s="78"/>
      <c r="C54" s="79"/>
      <c r="D54" s="79"/>
      <c r="E54" s="79"/>
      <c r="F54" s="79"/>
    </row>
  </sheetData>
  <mergeCells count="2">
    <mergeCell ref="B7:D7"/>
    <mergeCell ref="B30:Q31"/>
  </mergeCells>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defaultColWidth="8.81640625" defaultRowHeight="14.5"/>
  <cols>
    <col min="1" max="1" width="28.1796875" customWidth="1"/>
    <col min="2" max="2" width="9.1796875" style="15" customWidth="1"/>
    <col min="3" max="16" width="9.1796875" customWidth="1"/>
  </cols>
  <sheetData>
    <row r="1" spans="1:16">
      <c r="A1" s="18"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defaultColWidth="8.81640625" defaultRowHeight="14.5"/>
  <cols>
    <col min="2" max="2" width="24" customWidth="1"/>
    <col min="3" max="4" width="7.7265625" style="15" customWidth="1"/>
    <col min="5" max="5" width="8.81640625" style="15"/>
    <col min="20" max="20" width="9.453125" customWidth="1"/>
    <col min="22" max="22" width="11.1796875" customWidth="1"/>
    <col min="23" max="23" width="8.81640625" style="15"/>
    <col min="39" max="39" width="11.1796875" customWidth="1"/>
    <col min="40" max="40" width="8.81640625" style="15"/>
    <col min="56" max="56" width="11.453125" customWidth="1"/>
    <col min="57" max="57" width="8.81640625" style="15"/>
    <col min="74" max="74" width="9.1796875" style="15" customWidth="1"/>
    <col min="75" max="88" width="9.1796875" customWidth="1"/>
    <col min="89" max="89" width="0" style="15" hidden="1" customWidth="1"/>
    <col min="90" max="103" width="0" hidden="1" customWidth="1"/>
    <col min="104" max="118" width="9.1796875" hidden="1" customWidth="1"/>
    <col min="134" max="134" width="9.1796875" style="15" hidden="1" customWidth="1"/>
    <col min="135" max="148" width="9.1796875" hidden="1" customWidth="1"/>
    <col min="149" max="149" width="9.1796875" style="15" customWidth="1"/>
    <col min="150" max="163" width="9.1796875" customWidth="1"/>
    <col min="164" max="164" width="9.1796875" style="15" hidden="1" customWidth="1"/>
    <col min="165" max="178" width="9.1796875" hidden="1" customWidth="1"/>
  </cols>
  <sheetData>
    <row r="1" spans="1:178">
      <c r="D1"/>
      <c r="E1" s="114"/>
      <c r="F1" s="115"/>
      <c r="G1" s="115"/>
      <c r="H1" s="115"/>
      <c r="I1" s="115"/>
      <c r="J1" s="115"/>
      <c r="K1" s="115"/>
      <c r="L1" s="115"/>
      <c r="M1" s="115"/>
      <c r="N1" s="115"/>
      <c r="O1" s="115"/>
      <c r="P1" s="115"/>
      <c r="Q1" s="115"/>
      <c r="R1" s="115"/>
      <c r="S1" s="115"/>
      <c r="BV1" s="115"/>
      <c r="BW1" s="115"/>
      <c r="BX1" s="115"/>
      <c r="BY1" s="115"/>
      <c r="BZ1" s="115"/>
      <c r="CA1" s="115"/>
      <c r="CB1" s="115"/>
      <c r="CC1" s="115"/>
      <c r="CD1" s="115"/>
      <c r="CE1" s="115"/>
      <c r="CF1" s="115"/>
      <c r="CG1" s="115"/>
      <c r="CH1" s="115"/>
      <c r="CI1" s="115"/>
      <c r="CJ1" s="115"/>
    </row>
    <row r="2" spans="1:178">
      <c r="D2"/>
      <c r="E2" s="183" t="s">
        <v>399</v>
      </c>
      <c r="F2" s="183"/>
      <c r="G2" s="183"/>
      <c r="H2" s="183"/>
      <c r="I2" s="183"/>
      <c r="J2" s="183"/>
      <c r="K2" s="183"/>
      <c r="L2" s="183"/>
      <c r="M2" s="183"/>
      <c r="N2" s="183"/>
      <c r="O2" s="183"/>
      <c r="P2" s="183"/>
      <c r="Q2" s="183"/>
      <c r="R2" s="183"/>
      <c r="S2" s="183"/>
      <c r="T2" s="1"/>
      <c r="W2" s="183" t="s">
        <v>168</v>
      </c>
      <c r="X2" s="183"/>
      <c r="Y2" s="183"/>
      <c r="Z2" s="183"/>
      <c r="AA2" s="183"/>
      <c r="AB2" s="183"/>
      <c r="AC2" s="183"/>
      <c r="AD2" s="183"/>
      <c r="AE2" s="183"/>
      <c r="AF2" s="183"/>
      <c r="AG2" s="183"/>
      <c r="AH2" s="183"/>
      <c r="AI2" s="183"/>
      <c r="AJ2" s="183"/>
      <c r="AK2" s="183"/>
      <c r="AL2" s="115"/>
      <c r="AM2" s="115"/>
      <c r="AN2" s="183" t="s">
        <v>169</v>
      </c>
      <c r="AO2" s="183"/>
      <c r="AP2" s="183"/>
      <c r="AQ2" s="183"/>
      <c r="AR2" s="183"/>
      <c r="AS2" s="183"/>
      <c r="AT2" s="183"/>
      <c r="AU2" s="183"/>
      <c r="AV2" s="183"/>
      <c r="AW2" s="183"/>
      <c r="AX2" s="183"/>
      <c r="AY2" s="183"/>
      <c r="AZ2" s="183"/>
      <c r="BA2" s="183"/>
      <c r="BB2" s="183"/>
      <c r="BC2" s="115"/>
      <c r="BD2" s="115"/>
      <c r="BE2" s="183" t="s">
        <v>170</v>
      </c>
      <c r="BF2" s="183"/>
      <c r="BG2" s="183"/>
      <c r="BH2" s="183"/>
      <c r="BI2" s="183"/>
      <c r="BJ2" s="183"/>
      <c r="BK2" s="183"/>
      <c r="BL2" s="183"/>
      <c r="BM2" s="183"/>
      <c r="BN2" s="183"/>
      <c r="BO2" s="183"/>
      <c r="BP2" s="183"/>
      <c r="BQ2" s="183"/>
      <c r="BR2" s="183"/>
      <c r="BS2" s="183"/>
      <c r="BT2" s="115"/>
      <c r="BU2" s="115"/>
      <c r="BV2" s="183" t="s">
        <v>332</v>
      </c>
      <c r="BW2" s="183"/>
      <c r="BX2" s="183"/>
      <c r="BY2" s="183"/>
      <c r="BZ2" s="183"/>
      <c r="CA2" s="183"/>
      <c r="CB2" s="183"/>
      <c r="CC2" s="183"/>
      <c r="CD2" s="183"/>
      <c r="CE2" s="183"/>
      <c r="CF2" s="183"/>
      <c r="CG2" s="183"/>
      <c r="CH2" s="183"/>
      <c r="CI2" s="183"/>
      <c r="CJ2" s="183"/>
      <c r="CK2" s="18" t="s">
        <v>400</v>
      </c>
      <c r="CZ2" t="s">
        <v>401</v>
      </c>
      <c r="DO2" t="s">
        <v>402</v>
      </c>
      <c r="ED2" s="15" t="s">
        <v>403</v>
      </c>
      <c r="ES2" s="15" t="s">
        <v>404</v>
      </c>
      <c r="FH2" s="15" t="s">
        <v>405</v>
      </c>
    </row>
    <row r="3" spans="1:178" s="14" customFormat="1" ht="35.25" customHeight="1">
      <c r="A3" s="14" t="s">
        <v>175</v>
      </c>
      <c r="B3" s="14" t="s">
        <v>3</v>
      </c>
      <c r="C3" s="16" t="s">
        <v>157</v>
      </c>
      <c r="D3" s="16" t="s">
        <v>406</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16" t="s">
        <v>407</v>
      </c>
      <c r="U3" s="14" t="s">
        <v>408</v>
      </c>
      <c r="V3" s="117" t="s">
        <v>409</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18">
        <v>2020</v>
      </c>
      <c r="AL3" s="117" t="s">
        <v>410</v>
      </c>
      <c r="AM3" s="117" t="s">
        <v>409</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17" t="s">
        <v>410</v>
      </c>
      <c r="BD3" s="117" t="s">
        <v>409</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17" t="s">
        <v>410</v>
      </c>
      <c r="BU3" s="117" t="s">
        <v>409</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19">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6.5683975219726563</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0">
        <f>_xlfn.XLOOKUP(AK$3&amp;$A4,[3]Calcs!$Q$2:$Q$2281,[3]Calcs!$H$2:$H$2281,"")</f>
        <v>6.4583921432495117</v>
      </c>
      <c r="AL4" s="119">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19">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19">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19" t="str">
        <f>IFERROR(E4/VLOOKUP($C4,$C$159:$S$166,E$3-2003,0),"")</f>
        <v/>
      </c>
      <c r="EE4" s="121" cm="1">
        <f t="array" ref="EE4">TREND($EG4:$EQ4,$EG$3:$EQ$3,EE$3)</f>
        <v>0.73324416842369544</v>
      </c>
      <c r="EF4" s="121"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19">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0" t="str">
        <f>_xlfn.XLOOKUP(AK$3&amp;$A5,[3]Calcs!$Q$2:$Q$2281,[3]Calcs!$H$2:$H$2281,"")</f>
        <v/>
      </c>
      <c r="AL5" s="119">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19">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19">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19" t="str">
        <f>IFERROR(E5/VLOOKUP($C5,$C$159:$S$166,E$3-2003,0),"")</f>
        <v/>
      </c>
      <c r="EE5" s="121" cm="1">
        <f t="array" ref="EE5">TREND($EG5:$EQ5,$EG$3:$EQ$3,EE$3)</f>
        <v>0.55719808297294282</v>
      </c>
      <c r="EF5" s="121"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1"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19">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5.4984207153320313</v>
      </c>
      <c r="AH6" s="5">
        <f>_xlfn.XLOOKUP(AH$3&amp;$A6,[3]Calcs!$Q$2:$Q$2281,[3]Calcs!$H$2:$H$2281,"")</f>
        <v>5.3624749183654785</v>
      </c>
      <c r="AI6" s="5">
        <f>_xlfn.XLOOKUP(AI$3&amp;$A6,[3]Calcs!$Q$2:$Q$2281,[3]Calcs!$H$2:$H$2281,"")</f>
        <v>5.5108959674835205</v>
      </c>
      <c r="AJ6" s="5">
        <f>_xlfn.XLOOKUP(AJ$3&amp;$A6,[3]Calcs!$Q$2:$Q$2281,[3]Calcs!$H$2:$H$2281,"")</f>
        <v>5.6593170166015625</v>
      </c>
      <c r="AK6" s="120">
        <f>_xlfn.XLOOKUP(AK$3&amp;$A6,[3]Calcs!$Q$2:$Q$2281,[3]Calcs!$H$2:$H$2281,"")</f>
        <v>5.2953414916992188</v>
      </c>
      <c r="AL6" s="119">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19">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19">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22">
        <f t="shared" ref="ED6:EN6" si="15">AVERAGE($EO6:$EQ6)</f>
        <v>0.74230964986349257</v>
      </c>
      <c r="EE6" s="121">
        <f t="shared" si="15"/>
        <v>0.74230964986349257</v>
      </c>
      <c r="EF6" s="121">
        <f t="shared" si="15"/>
        <v>0.74230964986349257</v>
      </c>
      <c r="EG6" s="121">
        <f t="shared" si="15"/>
        <v>0.74230964986349257</v>
      </c>
      <c r="EH6" s="121">
        <f t="shared" si="15"/>
        <v>0.74230964986349257</v>
      </c>
      <c r="EI6" s="121">
        <f t="shared" si="15"/>
        <v>0.74230964986349257</v>
      </c>
      <c r="EJ6" s="121">
        <f t="shared" si="15"/>
        <v>0.74230964986349257</v>
      </c>
      <c r="EK6" s="121">
        <f t="shared" si="15"/>
        <v>0.74230964986349257</v>
      </c>
      <c r="EL6" s="121">
        <f t="shared" si="15"/>
        <v>0.74230964986349257</v>
      </c>
      <c r="EM6" s="121">
        <f t="shared" si="15"/>
        <v>0.74230964986349257</v>
      </c>
      <c r="EN6" s="121">
        <f t="shared" si="15"/>
        <v>0.74230964986349257</v>
      </c>
      <c r="EO6" s="6">
        <f t="shared" si="11"/>
        <v>0.72148343102695445</v>
      </c>
      <c r="EP6" s="6">
        <f t="shared" si="11"/>
        <v>0.74084817640913747</v>
      </c>
      <c r="EQ6" s="6">
        <f t="shared" si="11"/>
        <v>0.7645973421543858</v>
      </c>
      <c r="ER6" s="121"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19">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0" t="str">
        <f>_xlfn.XLOOKUP(AK$3&amp;$A7,[3]Calcs!$Q$2:$Q$2281,[3]Calcs!$H$2:$H$2281,"")</f>
        <v/>
      </c>
      <c r="AL7" s="119">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19">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19">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19" t="str">
        <f t="shared" ref="ED7:EN18" si="16">IFERROR(E7/VLOOKUP($C7,$C$159:$S$166,E$3-2003,0),"")</f>
        <v/>
      </c>
      <c r="EE7" s="121" cm="1">
        <f t="array" ref="EE7">TREND($EG7:$EQ7,$EG$3:$EQ$3,EE$3)</f>
        <v>0.71437789000045093</v>
      </c>
      <c r="EF7" s="121"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1"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19">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0">
        <f>_xlfn.XLOOKUP(AK$3&amp;$A8,[3]Calcs!$Q$2:$Q$2281,[3]Calcs!$H$2:$H$2281,"")</f>
        <v>6.1731758117675781</v>
      </c>
      <c r="AL8" s="119">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19">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19">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19" t="str">
        <f t="shared" si="16"/>
        <v/>
      </c>
      <c r="EE8" s="121" cm="1">
        <f t="array" ref="EE8">TREND($EG8:$EQ8,$EG$3:$EQ$3,EE$3)</f>
        <v>0.60553533554287498</v>
      </c>
      <c r="EF8" s="121"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19">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0">
        <f>_xlfn.XLOOKUP(AK$3&amp;$A9,[3]Calcs!$Q$2:$Q$2281,[3]Calcs!$H$2:$H$2281,"")</f>
        <v>5.7876157760620117</v>
      </c>
      <c r="AL9" s="119">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19">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19">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19"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19">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0">
        <f>_xlfn.XLOOKUP(AK$3&amp;$A10,[3]Calcs!$Q$2:$Q$2281,[3]Calcs!$H$2:$H$2281,"")</f>
        <v>7.5754895210266113</v>
      </c>
      <c r="AL10" s="119">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19">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19">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19" t="str">
        <f t="shared" si="16"/>
        <v/>
      </c>
      <c r="EE10" s="121">
        <f t="shared" ref="EE10:EN10" si="18">AVERAGE($EO10:$EQ10)</f>
        <v>0.91195873272393124</v>
      </c>
      <c r="EF10" s="121">
        <f t="shared" si="18"/>
        <v>0.91195873272393124</v>
      </c>
      <c r="EG10" s="121">
        <f t="shared" si="18"/>
        <v>0.91195873272393124</v>
      </c>
      <c r="EH10" s="121">
        <f t="shared" si="18"/>
        <v>0.91195873272393124</v>
      </c>
      <c r="EI10" s="121">
        <f t="shared" si="18"/>
        <v>0.91195873272393124</v>
      </c>
      <c r="EJ10" s="121">
        <f t="shared" si="18"/>
        <v>0.91195873272393124</v>
      </c>
      <c r="EK10" s="121">
        <f t="shared" si="18"/>
        <v>0.91195873272393124</v>
      </c>
      <c r="EL10" s="121">
        <f t="shared" si="18"/>
        <v>0.91195873272393124</v>
      </c>
      <c r="EM10" s="121">
        <f t="shared" si="18"/>
        <v>0.91195873272393124</v>
      </c>
      <c r="EN10" s="121">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19">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0">
        <f>_xlfn.XLOOKUP(AK$3&amp;$A11,[3]Calcs!$Q$2:$Q$2281,[3]Calcs!$H$2:$H$2281,"")</f>
        <v>6.7981772422790527</v>
      </c>
      <c r="AL11" s="119">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19">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19">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19"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19">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0">
        <f>_xlfn.XLOOKUP(AK$3&amp;$A12,[3]Calcs!$Q$2:$Q$2281,[3]Calcs!$H$2:$H$2281,"")</f>
        <v>7.5044479370117188</v>
      </c>
      <c r="AL12" s="119">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19">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19">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19"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19">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0">
        <f>_xlfn.XLOOKUP(AK$3&amp;$A13,[3]Calcs!$Q$2:$Q$2281,[3]Calcs!$H$2:$H$2281,"")</f>
        <v>7.1373677253723145</v>
      </c>
      <c r="AL13" s="119">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19">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19">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22"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19">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0">
        <f>_xlfn.XLOOKUP(AK$3&amp;$A14,[3]Calcs!$Q$2:$Q$2281,[3]Calcs!$H$2:$H$2281,"")</f>
        <v>6.2598104476928711</v>
      </c>
      <c r="AL14" s="119">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19">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19">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19"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19">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0">
        <f>_xlfn.XLOOKUP(AK$3&amp;$A15,[3]Calcs!$Q$2:$Q$2281,[3]Calcs!$H$2:$H$2281,"")</f>
        <v>7.2573819160461426</v>
      </c>
      <c r="AL15" s="119">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19">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19">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19">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19">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0">
        <f>_xlfn.XLOOKUP(AK$3&amp;$A16,[3]Calcs!$Q$2:$Q$2281,[3]Calcs!$H$2:$H$2281,"")</f>
        <v>7.0280880928039551</v>
      </c>
      <c r="AL16" s="119">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19">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19">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19">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19">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0">
        <f>_xlfn.XLOOKUP(AK$3&amp;$A17,[3]Calcs!$Q$2:$Q$2281,[3]Calcs!$H$2:$H$2281,"")</f>
        <v>6.5021753311157227</v>
      </c>
      <c r="AL17" s="119">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19">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19">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19"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19">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4.0411148071289063</v>
      </c>
      <c r="AH18" s="5">
        <f>_xlfn.XLOOKUP(AH$3&amp;$A18,[3]Calcs!$Q$2:$Q$2281,[3]Calcs!$H$2:$H$2281,"")</f>
        <v>5.0707507133483887</v>
      </c>
      <c r="AI18" s="5">
        <f>_xlfn.XLOOKUP(AI$3&amp;$A18,[3]Calcs!$Q$2:$Q$2281,[3]Calcs!$H$2:$H$2281,"")</f>
        <v>5.0056633949279785</v>
      </c>
      <c r="AJ18" s="5">
        <f>_xlfn.XLOOKUP(AJ$3&amp;$A18,[3]Calcs!$Q$2:$Q$2281,[3]Calcs!$H$2:$H$2281,"")</f>
        <v>5.080803394317627</v>
      </c>
      <c r="AK18" s="120">
        <f>_xlfn.XLOOKUP(AK$3&amp;$A18,[3]Calcs!$Q$2:$Q$2281,[3]Calcs!$H$2:$H$2281,"")</f>
        <v>4.5738296508789063</v>
      </c>
      <c r="AL18" s="119">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19">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19">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19"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19">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0">
        <f>_xlfn.XLOOKUP(AK$3&amp;$A19,[3]Calcs!$Q$2:$Q$2281,[3]Calcs!$H$2:$H$2281,"")</f>
        <v>7.5084352493286133</v>
      </c>
      <c r="AL19" s="119">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19">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19">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19" t="str">
        <f t="shared" ref="ED19:EH34" si="19">IFERROR(E19/VLOOKUP($C19,$C$159:$S$166,E$3-2003,0),"")</f>
        <v/>
      </c>
      <c r="EE19" s="121" cm="1">
        <f t="array" ref="EE19">TREND($EG19:$EQ19,$EG$3:$EQ$3,EE$3)</f>
        <v>1.1167762289550351</v>
      </c>
      <c r="EF19" s="121" cm="1">
        <f t="array" ref="EF19">TREND($EG19:$EQ19,$EG$3:$EQ$3,EF$3)</f>
        <v>1.1181427424714014</v>
      </c>
      <c r="EG19" s="6">
        <f>IFERROR(H19/VLOOKUP($C19,$C$159:$S$166,H$3-2003,0),"")</f>
        <v>1.1131430945613956</v>
      </c>
      <c r="EH19" s="121">
        <f>EG19+(EJ19-EG19)/3</f>
        <v>1.1221682179662524</v>
      </c>
      <c r="EI19" s="121">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19">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0" t="str">
        <f>_xlfn.XLOOKUP(AK$3&amp;$A20,[3]Calcs!$Q$2:$Q$2281,[3]Calcs!$H$2:$H$2281,"")</f>
        <v/>
      </c>
      <c r="AL20" s="119">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19">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19">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19" t="str">
        <f t="shared" si="19"/>
        <v/>
      </c>
      <c r="EE20" s="121" cm="1">
        <f t="array" ref="EE20">TREND($EG20:$EM20,$EG$3:$EM$3,EE$3)</f>
        <v>0.58532402174141085</v>
      </c>
      <c r="EF20" s="121"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1">
        <f>EM20+(EQ20-EM20)/4</f>
        <v>0.56047968920589852</v>
      </c>
      <c r="EO20" s="121">
        <f>EM20+(EQ20-EM20)*2/4</f>
        <v>0.5594639486745836</v>
      </c>
      <c r="EP20" s="121">
        <f>EM20+(EQ20-EM20)*3/4</f>
        <v>0.55844820814326868</v>
      </c>
      <c r="EQ20" s="6">
        <f t="shared" ref="EQ20:ER51" si="21">IFERROR(R20/VLOOKUP($C20,$C$159:$S$166,R$3-2003,0),"")</f>
        <v>0.55743246761195375</v>
      </c>
      <c r="ER20" s="121"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19">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7.3542251586914063</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0">
        <f>_xlfn.XLOOKUP(AK$3&amp;$A21,[3]Calcs!$Q$2:$Q$2281,[3]Calcs!$H$2:$H$2281,"")</f>
        <v>7.8893499374389648</v>
      </c>
      <c r="AL21" s="119">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19">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19">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19"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19">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0" t="str">
        <f>_xlfn.XLOOKUP(AK$3&amp;$A22,[3]Calcs!$Q$2:$Q$2281,[3]Calcs!$H$2:$H$2281,"")</f>
        <v/>
      </c>
      <c r="AL22" s="119">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19">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19">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19">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1"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19">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0">
        <f>_xlfn.XLOOKUP(AK$3&amp;$A23,[3]Calcs!$Q$2:$Q$2281,[3]Calcs!$H$2:$H$2281,"")</f>
        <v>6.4883561134338379</v>
      </c>
      <c r="AL23" s="119">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19">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19">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19"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19">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0" t="str">
        <f>_xlfn.XLOOKUP(AK$3&amp;$A24,[3]Calcs!$Q$2:$Q$2281,[3]Calcs!$H$2:$H$2281,"")</f>
        <v/>
      </c>
      <c r="AL24" s="119">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19">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19">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19" t="str">
        <f t="shared" si="19"/>
        <v/>
      </c>
      <c r="EE24" s="6">
        <f t="shared" si="19"/>
        <v>0.58420954549084292</v>
      </c>
      <c r="EF24" s="6">
        <f t="shared" si="19"/>
        <v>0.57613170255970081</v>
      </c>
      <c r="EG24" s="121">
        <f>EF24+(EI24-EF24)/3</f>
        <v>0.58733297845423127</v>
      </c>
      <c r="EH24" s="121">
        <f>EF24+(EI24-EF24)*2/3</f>
        <v>0.59853425434876184</v>
      </c>
      <c r="EI24" s="6">
        <f t="shared" si="20"/>
        <v>0.6097355302432923</v>
      </c>
      <c r="EJ24" s="6">
        <f t="shared" si="20"/>
        <v>0.62238210039907349</v>
      </c>
      <c r="EK24" s="6">
        <f t="shared" si="20"/>
        <v>0.60305117880140613</v>
      </c>
      <c r="EL24" s="121">
        <f>EK24+(EO24-EK24)/4</f>
        <v>0.60161448617614888</v>
      </c>
      <c r="EM24" s="121">
        <f>EK24+(EO24-EK24)*2/4</f>
        <v>0.60017779355089163</v>
      </c>
      <c r="EN24" s="121">
        <f>EK24+(EO24-EK24)*3/4</f>
        <v>0.59874110092563437</v>
      </c>
      <c r="EO24" s="6">
        <f t="shared" si="20"/>
        <v>0.59730440830037712</v>
      </c>
      <c r="EP24" s="121">
        <f>AVERAGE(EO24,EQ24)</f>
        <v>0.59140258359160724</v>
      </c>
      <c r="EQ24" s="6">
        <f t="shared" si="21"/>
        <v>0.58550075888283737</v>
      </c>
      <c r="ER24" s="121"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19">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0">
        <f>_xlfn.XLOOKUP(AK$3&amp;$A25,[3]Calcs!$Q$2:$Q$2281,[3]Calcs!$H$2:$H$2281,"")</f>
        <v>7.2900323867797852</v>
      </c>
      <c r="AL25" s="119">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19">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19">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19"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19">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0">
        <f>_xlfn.XLOOKUP(AK$3&amp;$A26,[3]Calcs!$Q$2:$Q$2281,[3]Calcs!$H$2:$H$2281,"")</f>
        <v>6.7141118049621582</v>
      </c>
      <c r="AL26" s="119">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19">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19">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19"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19">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0">
        <f>_xlfn.XLOOKUP(AK$3&amp;$A27,[3]Calcs!$Q$2:$Q$2281,[3]Calcs!$H$2:$H$2281,"")</f>
        <v>6.8387608528137207</v>
      </c>
      <c r="AL27" s="119">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19">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19">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19"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19">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7.7705154418945313</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0">
        <f>_xlfn.XLOOKUP(AK$3&amp;$A28,[3]Calcs!$Q$2:$Q$2281,[3]Calcs!$H$2:$H$2281,"")</f>
        <v>7.5146312713623047</v>
      </c>
      <c r="AL28" s="119">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19">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19">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19"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19">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0">
        <f>_xlfn.XLOOKUP(AK$3&amp;$A29,[3]Calcs!$Q$2:$Q$2281,[3]Calcs!$H$2:$H$2281,"")</f>
        <v>6.8970913887023926</v>
      </c>
      <c r="AL29" s="119">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19">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19">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22"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19">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7.0183792114257813</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0">
        <f>_xlfn.XLOOKUP(AK$3&amp;$A30,[3]Calcs!$Q$2:$Q$2281,[3]Calcs!$H$2:$H$2281,"")</f>
        <v>7.0349307060241699</v>
      </c>
      <c r="AL30" s="119">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19">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19">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19"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19">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0">
        <f>_xlfn.XLOOKUP(AK$3&amp;$A31,[3]Calcs!$Q$2:$Q$2281,[3]Calcs!$H$2:$H$2281,"")</f>
        <v>7.3118977546691895</v>
      </c>
      <c r="AL31" s="119">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19">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19">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19"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19">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0">
        <f>_xlfn.XLOOKUP(AK$3&amp;$A32,[3]Calcs!$Q$2:$Q$2281,[3]Calcs!$H$2:$H$2281,"")</f>
        <v>6.5079922676086426</v>
      </c>
      <c r="AL32" s="119">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19">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19">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22"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19">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5.0303421020507813</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0">
        <f>_xlfn.XLOOKUP(AK$3&amp;$A33,[3]Calcs!$Q$2:$Q$2281,[3]Calcs!$H$2:$H$2281,"")</f>
        <v>5.2696757316589355</v>
      </c>
      <c r="AL33" s="119">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19">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19">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19">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19">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0" t="str">
        <f>_xlfn.XLOOKUP(AK$3&amp;$A34,[3]Calcs!$Q$2:$Q$2281,[3]Calcs!$H$2:$H$2281,"")</f>
        <v/>
      </c>
      <c r="AL34" s="119">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19">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19">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19"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1"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19">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6.0522232055664063</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0">
        <f>_xlfn.XLOOKUP(AK$3&amp;$A35,[3]Calcs!$Q$2:$Q$2281,[3]Calcs!$H$2:$H$2281,"")</f>
        <v>6.5190982818603516</v>
      </c>
      <c r="AL35" s="119">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19">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19">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19">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19">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0">
        <f>_xlfn.XLOOKUP(AK$3&amp;$A36,[3]Calcs!$Q$2:$Q$2281,[3]Calcs!$H$2:$H$2281,"")</f>
        <v>6.4620761871337891</v>
      </c>
      <c r="AL36" s="119">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19">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19">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19">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19">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0">
        <f>_xlfn.XLOOKUP(AK$3&amp;$A37,[3]Calcs!$Q$2:$Q$2281,[3]Calcs!$H$2:$H$2281,"")</f>
        <v>4.946800708770752</v>
      </c>
      <c r="AL37" s="119">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19">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19">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19">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19">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0">
        <f>_xlfn.XLOOKUP(AK$3&amp;$A38,[3]Calcs!$Q$2:$Q$2281,[3]Calcs!$H$2:$H$2281,"")</f>
        <v>7.024904727935791</v>
      </c>
      <c r="AL38" s="119">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19">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19">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22"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19">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0">
        <f>_xlfn.XLOOKUP(AK$3&amp;$A39,[3]Calcs!$Q$2:$Q$2281,[3]Calcs!$H$2:$H$2281,"")</f>
        <v>5.0536642074584961</v>
      </c>
      <c r="AL39" s="119">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19">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19">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22"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19">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0">
        <f>_xlfn.XLOOKUP(AK$3&amp;$A40,[3]Calcs!$Q$2:$Q$2281,[3]Calcs!$H$2:$H$2281,"")</f>
        <v>7.2134890556335449</v>
      </c>
      <c r="AL40" s="119">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19">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19">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19"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19">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0" t="str">
        <f>_xlfn.XLOOKUP(AK$3&amp;$A41,[3]Calcs!$Q$2:$Q$2281,[3]Calcs!$H$2:$H$2281,"")</f>
        <v/>
      </c>
      <c r="AL41" s="119">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19">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19">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19"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1"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19">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0">
        <f>_xlfn.XLOOKUP(AK$3&amp;$A42,[3]Calcs!$Q$2:$Q$2281,[3]Calcs!$H$2:$H$2281,"")</f>
        <v>5.9642210006713867</v>
      </c>
      <c r="AL42" s="119">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19">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19">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19"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19">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0" t="str">
        <f>_xlfn.XLOOKUP(AK$3&amp;$A43,[3]Calcs!$Q$2:$Q$2281,[3]Calcs!$H$2:$H$2281,"")</f>
        <v/>
      </c>
      <c r="AL43" s="119">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19">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19">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19"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1"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19">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0">
        <f>_xlfn.XLOOKUP(AK$3&amp;$A44,[3]Calcs!$Q$2:$Q$2281,[3]Calcs!$H$2:$H$2281,"")</f>
        <v>6.156822681427002</v>
      </c>
      <c r="AL44" s="119">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19">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19">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19" t="str">
        <f>IFERROR(E44/VLOOKUP($C44,$C$159:$S$166,E$3-2003,0),"")</f>
        <v/>
      </c>
      <c r="EE44" s="121" cm="1">
        <f t="array" ref="EE44">TREND($EG44:$EQ44,$EG$3:$EQ$3,EE$3)</f>
        <v>0.94397937342524507</v>
      </c>
      <c r="EF44" s="121"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19">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0">
        <f>_xlfn.XLOOKUP(AK$3&amp;$A45,[3]Calcs!$Q$2:$Q$2281,[3]Calcs!$H$2:$H$2281,"")</f>
        <v>6.0415463447570801</v>
      </c>
      <c r="AL45" s="119">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19">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19">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22"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19">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0" t="str">
        <f>_xlfn.XLOOKUP(AK$3&amp;$A46,[3]Calcs!$Q$2:$Q$2281,[3]Calcs!$H$2:$H$2281,"")</f>
        <v/>
      </c>
      <c r="AL46" s="119">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19">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19">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19">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1"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19">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0">
        <f>_xlfn.XLOOKUP(AK$3&amp;$A47,[3]Calcs!$Q$2:$Q$2281,[3]Calcs!$H$2:$H$2281,"")</f>
        <v>5.5977230072021484</v>
      </c>
      <c r="AL47" s="119">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19">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19">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22"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19">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0">
        <f>_xlfn.XLOOKUP(AK$3&amp;$A48,[3]Calcs!$Q$2:$Q$2281,[3]Calcs!$H$2:$H$2281,"")</f>
        <v>4.6409096717834473</v>
      </c>
      <c r="AL48" s="119">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19">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19">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19">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1"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19">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0" t="str">
        <f>_xlfn.XLOOKUP(AK$3&amp;$A49,[3]Calcs!$Q$2:$Q$2281,[3]Calcs!$H$2:$H$2281,"")</f>
        <v/>
      </c>
      <c r="AL49" s="119">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19">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19">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19">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1"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19">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0" t="str">
        <f>_xlfn.XLOOKUP(AK$3&amp;$A50,[3]Calcs!$Q$2:$Q$2281,[3]Calcs!$H$2:$H$2281,"")</f>
        <v/>
      </c>
      <c r="AL50" s="119">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19">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19">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22" cm="1">
        <f t="array" ref="ED50">TREND($EF50:$EQ50,$EF$3:$EQ$3,ED$3)</f>
        <v>0.93548987105371806</v>
      </c>
      <c r="EE50" s="121"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1"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19">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0">
        <f>_xlfn.XLOOKUP(AK$3&amp;$A51,[3]Calcs!$Q$2:$Q$2281,[3]Calcs!$H$2:$H$2281,"")</f>
        <v>5.354461669921875</v>
      </c>
      <c r="AL51" s="119">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19">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19">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19"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19">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0">
        <f>_xlfn.XLOOKUP(AK$3&amp;$A52,[3]Calcs!$Q$2:$Q$2281,[3]Calcs!$H$2:$H$2281,"")</f>
        <v>6.1179633140563965</v>
      </c>
      <c r="AL52" s="119">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19">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19">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22"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19">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0" t="str">
        <f>_xlfn.XLOOKUP(AK$3&amp;$A53,[3]Calcs!$Q$2:$Q$2281,[3]Calcs!$H$2:$H$2281,"")</f>
        <v/>
      </c>
      <c r="AL53" s="119">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19">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19">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19">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1"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19">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0">
        <f>_xlfn.XLOOKUP(AK$3&amp;$A54,[3]Calcs!$Q$2:$Q$2281,[3]Calcs!$H$2:$H$2281,"")</f>
        <v>5.5029482841491699</v>
      </c>
      <c r="AL54" s="119">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19">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19">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19">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19">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0">
        <f>_xlfn.XLOOKUP(AK$3&amp;$A55,[3]Calcs!$Q$2:$Q$2281,[3]Calcs!$H$2:$H$2281,"")</f>
        <v>3.1598021984100342</v>
      </c>
      <c r="AL55" s="119">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19">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19">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19">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19">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0" t="str">
        <f>_xlfn.XLOOKUP(AK$3&amp;$A56,[3]Calcs!$Q$2:$Q$2281,[3]Calcs!$H$2:$H$2281,"")</f>
        <v/>
      </c>
      <c r="AL56" s="119">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19">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19">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19"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1"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19">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0" t="str">
        <f>_xlfn.XLOOKUP(AK$3&amp;$A57,[3]Calcs!$Q$2:$Q$2281,[3]Calcs!$H$2:$H$2281,"")</f>
        <v/>
      </c>
      <c r="AL57" s="119">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19">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19">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22" cm="1">
        <f t="array" ref="ED57">TREND($EI57:$EQ57,$EI$3:$EQ$3,ED$3)</f>
        <v>0.8394030353125892</v>
      </c>
      <c r="EE57" s="121" cm="1">
        <f t="array" ref="EE57">TREND($EI57:$EQ57,$EI$3:$EQ$3,EE$3)</f>
        <v>0.82883515520993711</v>
      </c>
      <c r="EF57" s="121" cm="1">
        <f t="array" ref="EF57">TREND($EI57:$EQ57,$EI$3:$EQ$3,EF$3)</f>
        <v>0.81826727510728503</v>
      </c>
      <c r="EG57" s="121" cm="1">
        <f t="array" ref="EG57">TREND($EI57:$EQ57,$EI$3:$EQ$3,EG$3)</f>
        <v>0.80769939500463295</v>
      </c>
      <c r="EH57" s="121" cm="1">
        <f t="array" ref="EH57">TREND($EI57:$EQ57,$EI$3:$EQ$3,EH$3)</f>
        <v>0.79713151490198086</v>
      </c>
      <c r="EI57" s="6">
        <f t="shared" si="31"/>
        <v>0.77936516702188174</v>
      </c>
      <c r="EJ57" s="121">
        <f>EI57+(EN57-EI57)/5</f>
        <v>0.77265289791161773</v>
      </c>
      <c r="EK57" s="121">
        <f>EI57+(EN57-EI57)*2/5</f>
        <v>0.76594062880135372</v>
      </c>
      <c r="EL57" s="121">
        <f>EI57+(EN57-EI57)*3/5</f>
        <v>0.7592283596910897</v>
      </c>
      <c r="EM57" s="121">
        <f>EI57+(EN57-EI57)*4/5</f>
        <v>0.75251609058082569</v>
      </c>
      <c r="EN57" s="6">
        <f t="shared" si="31"/>
        <v>0.74580382147056168</v>
      </c>
      <c r="EO57" s="6">
        <f t="shared" si="31"/>
        <v>0.72380779004893903</v>
      </c>
      <c r="EP57" s="6">
        <f t="shared" si="31"/>
        <v>0.69822032450018445</v>
      </c>
      <c r="EQ57" s="6">
        <f t="shared" si="31"/>
        <v>0.70109394947201475</v>
      </c>
      <c r="ER57" s="121"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19">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0" t="str">
        <f>_xlfn.XLOOKUP(AK$3&amp;$A58,[3]Calcs!$Q$2:$Q$2281,[3]Calcs!$H$2:$H$2281,"")</f>
        <v/>
      </c>
      <c r="AL58" s="119">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19">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19">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19">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1"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19">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5.6829605102539063</v>
      </c>
      <c r="AJ59" s="5">
        <f>_xlfn.XLOOKUP(AJ$3&amp;$A59,[3]Calcs!$Q$2:$Q$2281,[3]Calcs!$H$2:$H$2281,"")</f>
        <v>5.652625560760498</v>
      </c>
      <c r="AK59" s="120" t="str">
        <f>_xlfn.XLOOKUP(AK$3&amp;$A59,[3]Calcs!$Q$2:$Q$2281,[3]Calcs!$H$2:$H$2281,"")</f>
        <v/>
      </c>
      <c r="AL59" s="119">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19">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19">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19"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1"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19">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0">
        <f>_xlfn.XLOOKUP(AK$3&amp;$A60,[3]Calcs!$Q$2:$Q$2281,[3]Calcs!$H$2:$H$2281,"")</f>
        <v>7.3143410682678223</v>
      </c>
      <c r="AL60" s="119">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19">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19">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19"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19">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5.1319961547851563</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4.8080825805664063</v>
      </c>
      <c r="AI61" s="5">
        <f>_xlfn.XLOOKUP(AI$3&amp;$A61,[3]Calcs!$Q$2:$Q$2281,[3]Calcs!$H$2:$H$2281,"")</f>
        <v>4.6389336585998535</v>
      </c>
      <c r="AJ61" s="5">
        <f>_xlfn.XLOOKUP(AJ$3&amp;$A61,[3]Calcs!$Q$2:$Q$2281,[3]Calcs!$H$2:$H$2281,"")</f>
        <v>4.4525480270385742</v>
      </c>
      <c r="AK61" s="120">
        <f>_xlfn.XLOOKUP(AK$3&amp;$A61,[3]Calcs!$Q$2:$Q$2281,[3]Calcs!$H$2:$H$2281,"")</f>
        <v>4.093991756439209</v>
      </c>
      <c r="AL61" s="119">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19">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19">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19"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19">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0">
        <f>_xlfn.XLOOKUP(AK$3&amp;$A62,[3]Calcs!$Q$2:$Q$2281,[3]Calcs!$H$2:$H$2281,"")</f>
        <v>5.3649096488952637</v>
      </c>
      <c r="AL62" s="119">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19">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19">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19">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19">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0">
        <f>_xlfn.XLOOKUP(AK$3&amp;$A63,[3]Calcs!$Q$2:$Q$2281,[3]Calcs!$H$2:$H$2281,"")</f>
        <v>7.0365570364958714</v>
      </c>
      <c r="AL63" s="119">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19">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19">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19"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19">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5.4811782836914063</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0" t="str">
        <f>_xlfn.XLOOKUP(AK$3&amp;$A64,[3]Calcs!$Q$2:$Q$2281,[3]Calcs!$H$2:$H$2281,"")</f>
        <v/>
      </c>
      <c r="AL64" s="119">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19">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19">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19">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1"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19">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0" t="str">
        <f>_xlfn.XLOOKUP(AK$3&amp;$A65,[3]Calcs!$Q$2:$Q$2281,[3]Calcs!$H$2:$H$2281,"")</f>
        <v/>
      </c>
      <c r="AL65" s="119">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19">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19">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19">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1"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19">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0" t="str">
        <f>_xlfn.XLOOKUP(AK$3&amp;$A66,[3]Calcs!$Q$2:$Q$2281,[3]Calcs!$H$2:$H$2281,"")</f>
        <v/>
      </c>
      <c r="AL66" s="119">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19">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19">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22"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1"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19">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5.9142837524414063</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0" t="str">
        <f>_xlfn.XLOOKUP(AK$3&amp;$A67,[3]Calcs!$Q$2:$Q$2281,[3]Calcs!$H$2:$H$2281,"")</f>
        <v/>
      </c>
      <c r="AL67" s="119">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19">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19">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19">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1"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19">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0">
        <f>_xlfn.XLOOKUP(AK$3&amp;$A68,[3]Calcs!$Q$2:$Q$2281,[3]Calcs!$H$2:$H$2281,"")</f>
        <v>4.4723968505859375</v>
      </c>
      <c r="AL68" s="119">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19">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19">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19"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19">
        <f t="shared" si="40"/>
        <v>0.79426635998695994</v>
      </c>
      <c r="U69" s="6">
        <f t="shared" si="41"/>
        <v>0.78314438850810542</v>
      </c>
      <c r="V69" s="6" t="str">
        <f t="shared" si="42"/>
        <v/>
      </c>
      <c r="W69" s="17">
        <f>_xlfn.XLOOKUP(W$3&amp;$A69,[3]Calcs!$Q$2:$Q$2281,[3]Calcs!$H$2:$H$2281,"")</f>
        <v>3.8014907836914063</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4.0355606079101563</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0" t="str">
        <f>_xlfn.XLOOKUP(AK$3&amp;$A69,[3]Calcs!$Q$2:$Q$2281,[3]Calcs!$H$2:$H$2281,"")</f>
        <v/>
      </c>
      <c r="AL69" s="119">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19">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19">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19">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1"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19">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0" t="str">
        <f>_xlfn.XLOOKUP(AK$3&amp;$A70,[3]Calcs!$Q$2:$Q$2281,[3]Calcs!$H$2:$H$2281,"")</f>
        <v/>
      </c>
      <c r="AL70" s="119">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19">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19">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19">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1"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19">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0" t="str">
        <f>_xlfn.XLOOKUP(AK$3&amp;$A71,[3]Calcs!$Q$2:$Q$2281,[3]Calcs!$H$2:$H$2281,"")</f>
        <v/>
      </c>
      <c r="AL71" s="119">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19">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19">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19">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1"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19">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5.7461318969726563</v>
      </c>
      <c r="AE72" s="5">
        <f>_xlfn.XLOOKUP(AE$3&amp;$A72,[3]Calcs!$Q$2:$Q$2281,[3]Calcs!$H$2:$H$2281,"")</f>
        <v>5.7502822875976563</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0">
        <f>_xlfn.XLOOKUP(AK$3&amp;$A72,[3]Calcs!$Q$2:$Q$2281,[3]Calcs!$H$2:$H$2281,"")</f>
        <v>6.1394553184509277</v>
      </c>
      <c r="AL72" s="119">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19">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19">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22"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19">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0" t="str">
        <f>_xlfn.XLOOKUP(AK$3&amp;$A73,[3]Calcs!$Q$2:$Q$2281,[3]Calcs!$H$2:$H$2281,"")</f>
        <v/>
      </c>
      <c r="AL73" s="119">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19">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19">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22" cm="1">
        <f t="array" ref="ED73">TREND($EG73:$EO73,$EG$3:$EO$3,ED$3)</f>
        <v>1.069295827625286</v>
      </c>
      <c r="EE73" s="121" cm="1">
        <f t="array" ref="EE73">TREND($EG73:$EO73,$EG$3:$EO$3,EE$3)</f>
        <v>1.066279248912787</v>
      </c>
      <c r="EF73" s="121"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1">
        <f>AVERAGE(EO73,EQ73)</f>
        <v>1.0292436855940506</v>
      </c>
      <c r="EQ73" s="6">
        <f t="shared" si="38"/>
        <v>1.0405095108393636</v>
      </c>
      <c r="ER73" s="121"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19">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0" t="str">
        <f>_xlfn.XLOOKUP(AK$3&amp;$A74,[3]Calcs!$Q$2:$Q$2281,[3]Calcs!$H$2:$H$2281,"")</f>
        <v/>
      </c>
      <c r="AL74" s="119">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19">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19">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22" cm="1">
        <f t="array" ref="ED74">TREND($EI74:$EQ74,$EI$3:$EQ$3,ED$3)</f>
        <v>0.69098020577029118</v>
      </c>
      <c r="EE74" s="121" cm="1">
        <f t="array" ref="EE74">TREND($EI74:$EQ74,$EI$3:$EQ$3,EE$3)</f>
        <v>0.70488188395596296</v>
      </c>
      <c r="EF74" s="121" cm="1">
        <f t="array" ref="EF74">TREND($EI74:$EQ74,$EI$3:$EQ$3,EF$3)</f>
        <v>0.71878356214163119</v>
      </c>
      <c r="EG74" s="121" cm="1">
        <f t="array" ref="EG74">TREND($EI74:$EQ74,$EI$3:$EQ$3,EG$3)</f>
        <v>0.73268524032730298</v>
      </c>
      <c r="EH74" s="121" cm="1">
        <f t="array" ref="EH74">TREND($EI74:$EQ74,$EI$3:$EQ$3,EH$3)</f>
        <v>0.74658691851297121</v>
      </c>
      <c r="EI74" s="6">
        <f t="shared" ref="EI74:EP105" si="54">IFERROR(J74/VLOOKUP($C74,$C$159:$S$166,J$3-2003,0),"")</f>
        <v>0.76941874961433565</v>
      </c>
      <c r="EJ74" s="121">
        <f>EI74+(EP74-EI74)/7</f>
        <v>0.77949321940756611</v>
      </c>
      <c r="EK74" s="121">
        <f>EI74+(EP74-EI74)*2/7</f>
        <v>0.78956768920079656</v>
      </c>
      <c r="EL74" s="121">
        <f>EI74+(EP74-EI74)*3/7</f>
        <v>0.79964215899402702</v>
      </c>
      <c r="EM74" s="121">
        <f>EI74+(EP74-EI74)*4/7</f>
        <v>0.80971662878725748</v>
      </c>
      <c r="EN74" s="121">
        <f>EI74+(EP74-EI74)*5/7</f>
        <v>0.81979109858048793</v>
      </c>
      <c r="EO74" s="121">
        <f>EI74+(EP74-EI74)*6/7</f>
        <v>0.82986556837371839</v>
      </c>
      <c r="EP74" s="6">
        <f>IFERROR(Q74/VLOOKUP($C74,$C$159:$S$166,Q$3-2003,0),"")</f>
        <v>0.83994003816694884</v>
      </c>
      <c r="EQ74" s="6">
        <f t="shared" ref="EQ74:ER105" si="55">IFERROR(R74/VLOOKUP($C74,$C$159:$S$166,R$3-2003,0),"")</f>
        <v>0.90742263384677779</v>
      </c>
      <c r="ER74" s="121"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19">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0">
        <f>_xlfn.XLOOKUP(AK$3&amp;$A75,[3]Calcs!$Q$2:$Q$2281,[3]Calcs!$H$2:$H$2281,"")</f>
        <v>5.7677922248840332</v>
      </c>
      <c r="AL75" s="119">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19">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19">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19"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19">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0" t="str">
        <f>_xlfn.XLOOKUP(AK$3&amp;$A76,[3]Calcs!$Q$2:$Q$2281,[3]Calcs!$H$2:$H$2281,"")</f>
        <v/>
      </c>
      <c r="AL76" s="119">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19">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19">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19">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1"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19">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0" t="str">
        <f>_xlfn.XLOOKUP(AK$3&amp;$A77,[3]Calcs!$Q$2:$Q$2281,[3]Calcs!$H$2:$H$2281,"")</f>
        <v/>
      </c>
      <c r="AL77" s="119">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19">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19">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19">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1"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19">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0" t="str">
        <f>_xlfn.XLOOKUP(AK$3&amp;$A78,[3]Calcs!$Q$2:$Q$2281,[3]Calcs!$H$2:$H$2281,"")</f>
        <v/>
      </c>
      <c r="AL78" s="119">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19">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19">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22"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1">
        <f>EI78+(EN78-EI78)/5</f>
        <v>0.67591728962047826</v>
      </c>
      <c r="EK78" s="121">
        <f>EI78+(EN78-EI78)*2/5</f>
        <v>0.65569289497286865</v>
      </c>
      <c r="EL78" s="121">
        <f>EI78+(EN78-EI78)*3/5</f>
        <v>0.63546850032525914</v>
      </c>
      <c r="EM78" s="121">
        <f>EI78+(EN78-EI78)*4/5</f>
        <v>0.61524410567764953</v>
      </c>
      <c r="EN78" s="6">
        <f t="shared" si="54"/>
        <v>0.59501971103003992</v>
      </c>
      <c r="EO78" s="6">
        <f t="shared" si="54"/>
        <v>0.6949174403195949</v>
      </c>
      <c r="EP78" s="121">
        <f>AVERAGE(EO78,EQ78)</f>
        <v>0.67108637831860463</v>
      </c>
      <c r="EQ78" s="6">
        <f t="shared" si="55"/>
        <v>0.64725531631761435</v>
      </c>
      <c r="ER78" s="121"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19">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3.6762771606445313</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0" t="str">
        <f>_xlfn.XLOOKUP(AK$3&amp;$A79,[3]Calcs!$Q$2:$Q$2281,[3]Calcs!$H$2:$H$2281,"")</f>
        <v/>
      </c>
      <c r="AL79" s="119">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19">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19">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19">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1"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19">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0">
        <f>_xlfn.XLOOKUP(AK$3&amp;$A80,[3]Calcs!$Q$2:$Q$2281,[3]Calcs!$H$2:$H$2281,"")</f>
        <v>4.5465841293334961</v>
      </c>
      <c r="AL80" s="119">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19">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19">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19">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19">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0">
        <f>_xlfn.XLOOKUP(AK$3&amp;$A81,[3]Calcs!$Q$2:$Q$2281,[3]Calcs!$H$2:$H$2281,"")</f>
        <v>4.8645281791687012</v>
      </c>
      <c r="AL81" s="119">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19">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19">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19"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19">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0" t="str">
        <f>_xlfn.XLOOKUP(AK$3&amp;$A82,[3]Calcs!$Q$2:$Q$2281,[3]Calcs!$H$2:$H$2281,"")</f>
        <v/>
      </c>
      <c r="AL82" s="119">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19">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19">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22"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1"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19">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0" t="str">
        <f>_xlfn.XLOOKUP(AK$3&amp;$A83,[3]Calcs!$Q$2:$Q$2281,[3]Calcs!$H$2:$H$2281,"")</f>
        <v/>
      </c>
      <c r="AL83" s="119">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19">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19">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22"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1"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19">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0" t="str">
        <f>_xlfn.XLOOKUP(AK$3&amp;$A84,[3]Calcs!$Q$2:$Q$2281,[3]Calcs!$H$2:$H$2281,"")</f>
        <v/>
      </c>
      <c r="AL84" s="119">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19">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19">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19">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1"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19">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0">
        <f>_xlfn.XLOOKUP(AK$3&amp;$A85,[3]Calcs!$Q$2:$Q$2281,[3]Calcs!$H$2:$H$2281,"")</f>
        <v>3.7856841087341309</v>
      </c>
      <c r="AL85" s="119">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19">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19">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19">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19">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0">
        <f>_xlfn.XLOOKUP(AK$3&amp;$A86,[3]Calcs!$Q$2:$Q$2281,[3]Calcs!$H$2:$H$2281,"")</f>
        <v>6.0153002738952637</v>
      </c>
      <c r="AL86" s="119">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19">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19">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22" cm="1">
        <f t="array" ref="ED86">TREND($EI86:$EQ86,$EI$3:$EQ$3,ED$3)</f>
        <v>1.1751645388583096</v>
      </c>
      <c r="EE86" s="121" cm="1">
        <f t="array" ref="EE86">TREND($EI86:$EQ86,$EI$3:$EQ$3,EE$3)</f>
        <v>1.1824122622266184</v>
      </c>
      <c r="EF86" s="121" cm="1">
        <f t="array" ref="EF86">TREND($EI86:$EQ86,$EI$3:$EQ$3,EF$3)</f>
        <v>1.1896599855949272</v>
      </c>
      <c r="EG86" s="121" cm="1">
        <f t="array" ref="EG86">TREND($EI86:$EQ86,$EI$3:$EQ$3,EG$3)</f>
        <v>1.1969077089632343</v>
      </c>
      <c r="EH86" s="121"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19">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5.3847732543945313</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5.5787429809570313</v>
      </c>
      <c r="AI87" s="5">
        <f>_xlfn.XLOOKUP(AI$3&amp;$A87,[3]Calcs!$Q$2:$Q$2281,[3]Calcs!$H$2:$H$2281,"")</f>
        <v>5.5135002136230469</v>
      </c>
      <c r="AJ87" s="5">
        <f>_xlfn.XLOOKUP(AJ$3&amp;$A87,[3]Calcs!$Q$2:$Q$2281,[3]Calcs!$H$2:$H$2281,"")</f>
        <v>5.440523624420166</v>
      </c>
      <c r="AK87" s="120">
        <f>_xlfn.XLOOKUP(AK$3&amp;$A87,[3]Calcs!$Q$2:$Q$2281,[3]Calcs!$H$2:$H$2281,"")</f>
        <v>5.4952888488769531</v>
      </c>
      <c r="AL87" s="119">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19">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19">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19">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19">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0">
        <f>_xlfn.XLOOKUP(AK$3&amp;$A88,[3]Calcs!$Q$2:$Q$2281,[3]Calcs!$H$2:$H$2281,"")</f>
        <v>5.7091751098632813</v>
      </c>
      <c r="AL88" s="119">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19">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19">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19"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19">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0">
        <f>_xlfn.XLOOKUP(AK$3&amp;$A89,[3]Calcs!$Q$2:$Q$2281,[3]Calcs!$H$2:$H$2281,"")</f>
        <v>4.5492196083068848</v>
      </c>
      <c r="AL89" s="119">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19">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19">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22" cm="1">
        <f t="array" ref="ED89">TREND($EJ89:$EQ89,$EJ$3:$EQ$3,ED$3)</f>
        <v>1.2722117357915259</v>
      </c>
      <c r="EE89" s="121" cm="1">
        <f t="array" ref="EE89">TREND($EJ89:$EQ89,$EJ$3:$EQ$3,EE$3)</f>
        <v>1.2570031342032628</v>
      </c>
      <c r="EF89" s="121" cm="1">
        <f t="array" ref="EF89">TREND($EJ89:$EQ89,$EJ$3:$EQ$3,EF$3)</f>
        <v>1.2417945326149997</v>
      </c>
      <c r="EG89" s="121" cm="1">
        <f t="array" ref="EG89">TREND($EJ89:$EQ89,$EJ$3:$EQ$3,EG$3)</f>
        <v>1.2265859310267366</v>
      </c>
      <c r="EH89" s="121" cm="1">
        <f t="array" ref="EH89">TREND($EJ89:$EQ89,$EJ$3:$EQ$3,EH$3)</f>
        <v>1.2113773294384735</v>
      </c>
      <c r="EI89" s="121"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19">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0">
        <f>_xlfn.XLOOKUP(AK$3&amp;$A90,[3]Calcs!$Q$2:$Q$2281,[3]Calcs!$H$2:$H$2281,"")</f>
        <v>5.4619269371032715</v>
      </c>
      <c r="AL90" s="119">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19">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19">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19"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19">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0">
        <f>_xlfn.XLOOKUP(AK$3&amp;$A91,[3]Calcs!$Q$2:$Q$2281,[3]Calcs!$H$2:$H$2281,"")</f>
        <v>7.1949281692504883</v>
      </c>
      <c r="AL91" s="119">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19">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19">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19"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19">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0" t="str">
        <f>_xlfn.XLOOKUP(AK$3&amp;$A92,[3]Calcs!$Q$2:$Q$2281,[3]Calcs!$H$2:$H$2281,"")</f>
        <v/>
      </c>
      <c r="AL92" s="119">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19">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19">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22" cm="1">
        <f t="array" ref="ED92">TREND($EF92:$EQ92,$EF$3:$EQ$3,ED$3)</f>
        <v>0.85195428295869746</v>
      </c>
      <c r="EE92" s="121"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1"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19">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3.7659988403320313</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0" t="str">
        <f>_xlfn.XLOOKUP(AK$3&amp;$A93,[3]Calcs!$Q$2:$Q$2281,[3]Calcs!$H$2:$H$2281,"")</f>
        <v/>
      </c>
      <c r="AL93" s="119">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19">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19">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19"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1"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19">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0" t="str">
        <f>_xlfn.XLOOKUP(AK$3&amp;$A94,[3]Calcs!$Q$2:$Q$2281,[3]Calcs!$H$2:$H$2281,"")</f>
        <v/>
      </c>
      <c r="AL94" s="119">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19">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19">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22">
        <f>AVERAGE($EG94:$EJ94,$EP94:$EQ94)</f>
        <v>1.0114070828431079</v>
      </c>
      <c r="EE94" s="121">
        <f>AVERAGE($EG94:$EJ94,$EP94:$EQ94)</f>
        <v>1.0114070828431079</v>
      </c>
      <c r="EF94" s="121">
        <f>AVERAGE($EG94:$EJ94,$EP94:$EQ94)</f>
        <v>1.0114070828431079</v>
      </c>
      <c r="EG94" s="6">
        <f t="shared" si="62"/>
        <v>0.98431600455880397</v>
      </c>
      <c r="EH94" s="6">
        <f t="shared" si="62"/>
        <v>1.0108602754576612</v>
      </c>
      <c r="EI94" s="6">
        <f t="shared" si="62"/>
        <v>1.0065877551087941</v>
      </c>
      <c r="EJ94" s="6">
        <f t="shared" si="54"/>
        <v>1.0169477733792855</v>
      </c>
      <c r="EK94" s="121">
        <f>AVERAGE($EG94:$EJ94,$EP94:$EQ94)</f>
        <v>1.0114070828431079</v>
      </c>
      <c r="EL94" s="121">
        <f>AVERAGE($EG94:$EJ94,$EP94:$EQ94)</f>
        <v>1.0114070828431079</v>
      </c>
      <c r="EM94" s="121">
        <f>AVERAGE($EG94:$EJ94,$EP94:$EQ94)</f>
        <v>1.0114070828431079</v>
      </c>
      <c r="EN94" s="121">
        <f>AVERAGE($EG94:$EJ94,$EP94:$EQ94)</f>
        <v>1.0114070828431079</v>
      </c>
      <c r="EO94" s="121">
        <f>AVERAGE($EG94:$EJ94,$EP94:$EQ94)</f>
        <v>1.0114070828431079</v>
      </c>
      <c r="EP94" s="6">
        <f t="shared" si="54"/>
        <v>0.96020202395367982</v>
      </c>
      <c r="EQ94" s="6">
        <f t="shared" si="55"/>
        <v>1.089528664600423</v>
      </c>
      <c r="ER94" s="121"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19">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0" t="str">
        <f>_xlfn.XLOOKUP(AK$3&amp;$A95,[3]Calcs!$Q$2:$Q$2281,[3]Calcs!$H$2:$H$2281,"")</f>
        <v/>
      </c>
      <c r="AL95" s="119">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19">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19">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19"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1"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19">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0" t="str">
        <f>_xlfn.XLOOKUP(AK$3&amp;$A96,[3]Calcs!$Q$2:$Q$2281,[3]Calcs!$H$2:$H$2281,"")</f>
        <v/>
      </c>
      <c r="AL96" s="119">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19">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19">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19"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1"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19">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7.0008316040039063</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6.4511489868164063</v>
      </c>
      <c r="AK97" s="120">
        <f>_xlfn.XLOOKUP(AK$3&amp;$A97,[3]Calcs!$Q$2:$Q$2281,[3]Calcs!$H$2:$H$2281,"")</f>
        <v>6.109717845916748</v>
      </c>
      <c r="AL97" s="119">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19">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19">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19"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19">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0">
        <f>_xlfn.XLOOKUP(AK$3&amp;$A98,[3]Calcs!$Q$2:$Q$2281,[3]Calcs!$H$2:$H$2281,"")</f>
        <v>5.3733987808227539</v>
      </c>
      <c r="AL98" s="119">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19">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19">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19">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19">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0" t="str">
        <f>_xlfn.XLOOKUP(AK$3&amp;$A99,[3]Calcs!$Q$2:$Q$2281,[3]Calcs!$H$2:$H$2281,"")</f>
        <v/>
      </c>
      <c r="AL99" s="119">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19">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19">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22" cm="1">
        <f t="array" ref="ED99">TREND($EF99:$EQ99,$EF$3:$EQ$3,ED$3)</f>
        <v>0.99298390044497253</v>
      </c>
      <c r="EE99" s="121"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1"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19">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0" t="str">
        <f>_xlfn.XLOOKUP(AK$3&amp;$A100,[3]Calcs!$Q$2:$Q$2281,[3]Calcs!$H$2:$H$2281,"")</f>
        <v/>
      </c>
      <c r="AL100" s="119">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19">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19">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19">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1"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19">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6.0731582641601563</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0">
        <f>_xlfn.XLOOKUP(AK$3&amp;$A101,[3]Calcs!$Q$2:$Q$2281,[3]Calcs!$H$2:$H$2281,"")</f>
        <v>5.9005670547485352</v>
      </c>
      <c r="AL101" s="119">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19">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19">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19"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19">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0">
        <f>_xlfn.XLOOKUP(AK$3&amp;$A102,[3]Calcs!$Q$2:$Q$2281,[3]Calcs!$H$2:$H$2281,"")</f>
        <v>5.8116288185119629</v>
      </c>
      <c r="AL102" s="119">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19">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19">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19">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19">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0" t="str">
        <f>_xlfn.XLOOKUP(AK$3&amp;$A103,[3]Calcs!$Q$2:$Q$2281,[3]Calcs!$H$2:$H$2281,"")</f>
        <v/>
      </c>
      <c r="AL103" s="119">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19">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19">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19"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1"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19">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4.9144668579101563</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0">
        <f>_xlfn.XLOOKUP(AK$3&amp;$A104,[3]Calcs!$Q$2:$Q$2281,[3]Calcs!$H$2:$H$2281,"")</f>
        <v>6.0380496978759766</v>
      </c>
      <c r="AL104" s="119">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19">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19">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22"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19">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0">
        <f>_xlfn.XLOOKUP(AK$3&amp;$A105,[3]Calcs!$Q$2:$Q$2281,[3]Calcs!$H$2:$H$2281,"")</f>
        <v>4.7308111190795898</v>
      </c>
      <c r="AL105" s="119">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19">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19">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19" t="str">
        <f>IFERROR(E105/VLOOKUP($C105,$C$159:$S$166,E$3-2003,0),"")</f>
        <v/>
      </c>
      <c r="EE105" s="121" cm="1">
        <f t="array" ref="EE105">TREND($EG105:$EQ105,$EG$3:$EQ$3,EE$3)</f>
        <v>1.1299448721777239</v>
      </c>
      <c r="EF105" s="121"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19">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0" t="str">
        <f>_xlfn.XLOOKUP(AK$3&amp;$A106,[3]Calcs!$Q$2:$Q$2281,[3]Calcs!$H$2:$H$2281,"")</f>
        <v/>
      </c>
      <c r="AL106" s="119">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19">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19">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22" cm="1">
        <f t="array" ref="ED106">TREND($EI106:$EL106,$EI$3:$EL$3,ED$3)</f>
        <v>1.1761170363973648</v>
      </c>
      <c r="EE106" s="121" cm="1">
        <f t="array" ref="EE106">TREND($EI106:$EL106,$EI$3:$EL$3,EE$3)</f>
        <v>1.1623867710754681</v>
      </c>
      <c r="EF106" s="121" cm="1">
        <f t="array" ref="EF106">TREND($EI106:$EL106,$EI$3:$EL$3,EF$3)</f>
        <v>1.1486565057535714</v>
      </c>
      <c r="EG106" s="121" cm="1">
        <f t="array" ref="EG106">TREND($EI106:$EL106,$EI$3:$EL$3,EG$3)</f>
        <v>1.1349262404316711</v>
      </c>
      <c r="EH106" s="121"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1">
        <f>EL106+(EQ106-EL106)/5</f>
        <v>1.0375421279012067</v>
      </c>
      <c r="EN106" s="121">
        <f>EL106+(EQ106-EL106)*2/5</f>
        <v>1.0323399641620012</v>
      </c>
      <c r="EO106" s="121">
        <f>EL106+(EQ106-EL106)*3/5</f>
        <v>1.027137800422796</v>
      </c>
      <c r="EP106" s="121">
        <f>EL106+(EQ106-EL106)*4/5</f>
        <v>1.0219356366835906</v>
      </c>
      <c r="EQ106" s="6">
        <f t="shared" ref="EQ106:ER137" si="67">IFERROR(R106/VLOOKUP($C106,$C$159:$S$166,R$3-2003,0),"")</f>
        <v>1.0167334729443853</v>
      </c>
      <c r="ER106" s="121"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19">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5.2439956665039063</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3.9327774047851563</v>
      </c>
      <c r="AI107" s="5">
        <f>_xlfn.XLOOKUP(AI$3&amp;$A107,[3]Calcs!$Q$2:$Q$2281,[3]Calcs!$H$2:$H$2281,"")</f>
        <v>4.0414881706237793</v>
      </c>
      <c r="AJ107" s="5">
        <f>_xlfn.XLOOKUP(AJ$3&amp;$A107,[3]Calcs!$Q$2:$Q$2281,[3]Calcs!$H$2:$H$2281,"")</f>
        <v>3.3067965507507324</v>
      </c>
      <c r="AK107" s="120">
        <f>_xlfn.XLOOKUP(AK$3&amp;$A107,[3]Calcs!$Q$2:$Q$2281,[3]Calcs!$H$2:$H$2281,"")</f>
        <v>4.8379921913146973</v>
      </c>
      <c r="AL107" s="119">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19">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19">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19">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19">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0" t="str">
        <f>_xlfn.XLOOKUP(AK$3&amp;$A108,[3]Calcs!$Q$2:$Q$2281,[3]Calcs!$H$2:$H$2281,"")</f>
        <v/>
      </c>
      <c r="AL108" s="119">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19">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19">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19" t="str">
        <f>IFERROR(E108/VLOOKUP($C108,$C$159:$S$166,E$3-2003,0),"")</f>
        <v/>
      </c>
      <c r="EE108" s="121" cm="1">
        <f t="array" ref="EE108">TREND($EJ108:$EQ108,$EJ$3:$EQ$3,EE$3)</f>
        <v>0.87979896621794396</v>
      </c>
      <c r="EF108" s="121" cm="1">
        <f t="array" ref="EF108">TREND($EJ108:$EQ108,$EJ$3:$EQ$3,EF$3)</f>
        <v>0.88880663528195214</v>
      </c>
      <c r="EG108" s="121" cm="1">
        <f t="array" ref="EG108">TREND($EJ108:$EQ108,$EJ$3:$EQ$3,EG$3)</f>
        <v>0.89781430434595677</v>
      </c>
      <c r="EH108" s="121" cm="1">
        <f t="array" ref="EH108">TREND($EJ108:$EQ108,$EJ$3:$EQ$3,EH$3)</f>
        <v>0.90682197340996495</v>
      </c>
      <c r="EI108" s="121"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1"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19">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0">
        <f>_xlfn.XLOOKUP(AK$3&amp;$A109,[3]Calcs!$Q$2:$Q$2281,[3]Calcs!$H$2:$H$2281,"")</f>
        <v>5.2410778999328613</v>
      </c>
      <c r="AL109" s="119">
        <f t="shared" si="43"/>
        <v>7.3518834271273772E-2</v>
      </c>
      <c r="AM109" s="6">
        <f t="shared" si="44"/>
        <v>0.30434036254882813</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19">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19">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19">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19">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0" t="str">
        <f>_xlfn.XLOOKUP(AK$3&amp;$A110,[3]Calcs!$Q$2:$Q$2281,[3]Calcs!$H$2:$H$2281,"")</f>
        <v/>
      </c>
      <c r="AL110" s="119">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19">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19">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19" t="str">
        <f>IFERROR(E110/VLOOKUP($C110,$C$159:$R$166,E$3-2004,0),"")</f>
        <v/>
      </c>
      <c r="EE110" s="121" cm="1">
        <f t="array" ref="EE110">TREND($EI110:$EQ110,$EI$3:$EQ$3,EE$3)</f>
        <v>0.87103954127125149</v>
      </c>
      <c r="EF110" s="121" cm="1">
        <f t="array" ref="EF110">TREND($EI110:$EQ110,$EI$3:$EQ$3,EF$3)</f>
        <v>0.88815784309946366</v>
      </c>
      <c r="EG110" s="121" cm="1">
        <f t="array" ref="EG110">TREND($EI110:$EQ110,$EI$3:$EQ$3,EG$3)</f>
        <v>0.90527614492766872</v>
      </c>
      <c r="EH110" s="121"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1"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19">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4.8317642211914063</v>
      </c>
      <c r="AH111" s="5">
        <f>_xlfn.XLOOKUP(AH$3&amp;$A111,[3]Calcs!$Q$2:$Q$2281,[3]Calcs!$H$2:$H$2281,"")</f>
        <v>4.7823829650878906</v>
      </c>
      <c r="AI111" s="5">
        <f>_xlfn.XLOOKUP(AI$3&amp;$A111,[3]Calcs!$Q$2:$Q$2281,[3]Calcs!$H$2:$H$2281,"")</f>
        <v>4.7830090522766113</v>
      </c>
      <c r="AJ111" s="5">
        <f>_xlfn.XLOOKUP(AJ$3&amp;$A111,[3]Calcs!$Q$2:$Q$2281,[3]Calcs!$H$2:$H$2281,"")</f>
        <v>4.914393424987793</v>
      </c>
      <c r="AK111" s="120" t="str">
        <f>_xlfn.XLOOKUP(AK$3&amp;$A111,[3]Calcs!$Q$2:$Q$2281,[3]Calcs!$H$2:$H$2281,"")</f>
        <v/>
      </c>
      <c r="AL111" s="119">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19">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19">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22" cm="1">
        <f t="array" ref="ED111">TREND($EI111:$EQ111,$EI$3:$EQ$3,ED$3)</f>
        <v>0.80654909532731267</v>
      </c>
      <c r="EE111" s="121" cm="1">
        <f t="array" ref="EE111">TREND($EI111:$EQ111,$EI$3:$EQ$3,EE$3)</f>
        <v>0.82404211309262365</v>
      </c>
      <c r="EF111" s="121" cm="1">
        <f t="array" ref="EF111">TREND($EI111:$EQ111,$EI$3:$EQ$3,EF$3)</f>
        <v>0.84153513085794174</v>
      </c>
      <c r="EG111" s="121" cm="1">
        <f t="array" ref="EG111">TREND($EI111:$EQ111,$EI$3:$EQ$3,EG$3)</f>
        <v>0.85902814862325982</v>
      </c>
      <c r="EH111" s="121"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1"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19">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0" t="str">
        <f>_xlfn.XLOOKUP(AK$3&amp;$A112,[3]Calcs!$Q$2:$Q$2281,[3]Calcs!$H$2:$H$2281,"")</f>
        <v/>
      </c>
      <c r="AL112" s="119">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19">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19">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19"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1"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19">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0" t="str">
        <f>_xlfn.XLOOKUP(AK$3&amp;$A113,[3]Calcs!$Q$2:$Q$2281,[3]Calcs!$H$2:$H$2281,"")</f>
        <v/>
      </c>
      <c r="AL113" s="119">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19">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19">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19">
        <f t="shared" ref="ED113:EP126" si="71">IFERROR(E113/VLOOKUP($C113,$C$159:$S$166,E$3-2003,0),"")</f>
        <v>0.92024346330028384</v>
      </c>
      <c r="EE113" s="6">
        <f t="shared" si="71"/>
        <v>0.83758545833499587</v>
      </c>
      <c r="EF113" s="6">
        <f t="shared" si="71"/>
        <v>0.78941429576574873</v>
      </c>
      <c r="EG113" s="121">
        <f>EF113+(EI113-EF113)/3</f>
        <v>0.78664153898004441</v>
      </c>
      <c r="EH113" s="121">
        <f>EF113+(EI113-EF113)*2/3</f>
        <v>0.78386878219433997</v>
      </c>
      <c r="EI113" s="6">
        <f t="shared" si="69"/>
        <v>0.78109602540863565</v>
      </c>
      <c r="EJ113" s="121">
        <f>EI113+(EL113-EI113)/3</f>
        <v>0.77916901717114317</v>
      </c>
      <c r="EK113" s="121">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1"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19">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0">
        <f>_xlfn.XLOOKUP(AK$3&amp;$A114,[3]Calcs!$Q$2:$Q$2281,[3]Calcs!$H$2:$H$2281,"")</f>
        <v>5.079585075378418</v>
      </c>
      <c r="AL114" s="119">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19">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19">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19">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19">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4.3832473754882813</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0">
        <f>_xlfn.XLOOKUP(AK$3&amp;$A115,[3]Calcs!$Q$2:$Q$2281,[3]Calcs!$H$2:$H$2281,"")</f>
        <v>4.8026175498962402</v>
      </c>
      <c r="AL115" s="119">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19">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19">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19" t="str">
        <f t="shared" si="71"/>
        <v/>
      </c>
      <c r="EE115" s="121" cm="1">
        <f t="array" ref="EE115">TREND($EH115:$EQ115,$EH$3:$EQ$3,EE$3)</f>
        <v>1.0955551418514418</v>
      </c>
      <c r="EF115" s="121" cm="1">
        <f t="array" ref="EF115">TREND($EH115:$EQ115,$EH$3:$EQ$3,EF$3)</f>
        <v>1.1048743852756253</v>
      </c>
      <c r="EG115" s="121"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19">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0">
        <f>_xlfn.XLOOKUP(AK$3&amp;$A116,[3]Calcs!$Q$2:$Q$2281,[3]Calcs!$H$2:$H$2281,"")</f>
        <v>4.4077458381652832</v>
      </c>
      <c r="AL116" s="119">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19">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19">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19">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19">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0">
        <f>_xlfn.XLOOKUP(AK$3&amp;$A117,[3]Calcs!$Q$2:$Q$2281,[3]Calcs!$H$2:$H$2281,"")</f>
        <v>6.3096814155578613</v>
      </c>
      <c r="AL117" s="119">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19">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19">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19" t="str">
        <f t="shared" si="71"/>
        <v/>
      </c>
      <c r="EE117" s="121">
        <f t="shared" ref="EE117:EN117" si="73">AVERAGE($EO117:$EQ117)</f>
        <v>1.0608274106290161</v>
      </c>
      <c r="EF117" s="121">
        <f t="shared" si="73"/>
        <v>1.0608274106290161</v>
      </c>
      <c r="EG117" s="121">
        <f t="shared" si="73"/>
        <v>1.0608274106290161</v>
      </c>
      <c r="EH117" s="121">
        <f t="shared" si="73"/>
        <v>1.0608274106290161</v>
      </c>
      <c r="EI117" s="121">
        <f t="shared" si="73"/>
        <v>1.0608274106290161</v>
      </c>
      <c r="EJ117" s="121">
        <f t="shared" si="73"/>
        <v>1.0608274106290161</v>
      </c>
      <c r="EK117" s="121">
        <f t="shared" si="73"/>
        <v>1.0608274106290161</v>
      </c>
      <c r="EL117" s="121">
        <f t="shared" si="73"/>
        <v>1.0608274106290161</v>
      </c>
      <c r="EM117" s="121">
        <f t="shared" si="73"/>
        <v>1.0608274106290161</v>
      </c>
      <c r="EN117" s="121">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19">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4.6977615356445313</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0">
        <f>_xlfn.XLOOKUP(AK$3&amp;$A118,[3]Calcs!$Q$2:$Q$2281,[3]Calcs!$H$2:$H$2281,"")</f>
        <v>6.2495861053466797</v>
      </c>
      <c r="AL118" s="119">
        <f t="shared" si="43"/>
        <v>6.0323783329554966E-2</v>
      </c>
      <c r="AM118" s="6">
        <f t="shared" si="44"/>
        <v>0.56436538696289063</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19">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19">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19">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19">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0">
        <f>_xlfn.XLOOKUP(AK$3&amp;$A119,[3]Calcs!$Q$2:$Q$2281,[3]Calcs!$H$2:$H$2281,"")</f>
        <v>5.2799868583679199</v>
      </c>
      <c r="AL119" s="119">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19">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19">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19">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19">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4.5589370727539063</v>
      </c>
      <c r="AI120" s="5">
        <f>_xlfn.XLOOKUP(AI$3&amp;$A120,[3]Calcs!$Q$2:$Q$2281,[3]Calcs!$H$2:$H$2281,"")</f>
        <v>4.4863252639770508</v>
      </c>
      <c r="AJ120" s="5">
        <f>_xlfn.XLOOKUP(AJ$3&amp;$A120,[3]Calcs!$Q$2:$Q$2281,[3]Calcs!$H$2:$H$2281,"")</f>
        <v>4.2507991790771484</v>
      </c>
      <c r="AK120" s="120" t="str">
        <f>_xlfn.XLOOKUP(AK$3&amp;$A120,[3]Calcs!$Q$2:$Q$2281,[3]Calcs!$H$2:$H$2281,"")</f>
        <v/>
      </c>
      <c r="AL120" s="119">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19">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19">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19">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1"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19">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6.4763565063476563</v>
      </c>
      <c r="AI121" s="5">
        <f>_xlfn.XLOOKUP(AI$3&amp;$A121,[3]Calcs!$Q$2:$Q$2281,[3]Calcs!$H$2:$H$2281,"")</f>
        <v>5.8189525604248047</v>
      </c>
      <c r="AJ121" s="5">
        <f>_xlfn.XLOOKUP(AJ$3&amp;$A121,[3]Calcs!$Q$2:$Q$2281,[3]Calcs!$H$2:$H$2281,"")</f>
        <v>6.1125450134277344</v>
      </c>
      <c r="AK121" s="120" t="str">
        <f>_xlfn.XLOOKUP(AK$3&amp;$A121,[3]Calcs!$Q$2:$Q$2281,[3]Calcs!$H$2:$H$2281,"")</f>
        <v/>
      </c>
      <c r="AL121" s="119">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19">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19">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19"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1"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19">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0">
        <f>_xlfn.XLOOKUP(AK$3&amp;$A122,[3]Calcs!$Q$2:$Q$2281,[3]Calcs!$H$2:$H$2281,"")</f>
        <v>5.1684098243713379</v>
      </c>
      <c r="AL122" s="119">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19">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19">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19"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19">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4.3420791625976563</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0">
        <f>_xlfn.XLOOKUP(AK$3&amp;$A123,[3]Calcs!$Q$2:$Q$2281,[3]Calcs!$H$2:$H$2281,"")</f>
        <v>4.2252812385559082</v>
      </c>
      <c r="AL123" s="119">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19">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19">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19">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19">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0">
        <f>_xlfn.XLOOKUP(AK$3&amp;$A124,[3]Calcs!$Q$2:$Q$2281,[3]Calcs!$H$2:$H$2281,"")</f>
        <v>6.4525637626647949</v>
      </c>
      <c r="AL124" s="119">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19">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19">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19">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19">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0">
        <f>_xlfn.XLOOKUP(AK$3&amp;$A125,[3]Calcs!$Q$2:$Q$2281,[3]Calcs!$H$2:$H$2281,"")</f>
        <v>5.8845443725585938</v>
      </c>
      <c r="AL125" s="119">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19">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19">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19">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19">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0">
        <f>_xlfn.XLOOKUP(AK$3&amp;$A126,[3]Calcs!$Q$2:$Q$2281,[3]Calcs!$H$2:$H$2281,"")</f>
        <v>4.4510102272033691</v>
      </c>
      <c r="AL126" s="119">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19">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19">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22" cm="1">
        <f t="array" ref="ED126">TREND($EE126:$EQ126,$EE$3:$EQ$3,ED$3)</f>
        <v>1.0030149600969356</v>
      </c>
      <c r="EE126" s="6">
        <f>IFERROR(F126/VLOOKUP($C126,$C$159:$S$166,F$3-2003,0),"")</f>
        <v>0.99884532207203092</v>
      </c>
      <c r="EF126" s="121">
        <f>EE126+(EL126-EE126)/7</f>
        <v>0.99385490461617798</v>
      </c>
      <c r="EG126" s="121">
        <f>EE126+(EL126-EE126)*2/7</f>
        <v>0.98886448716032505</v>
      </c>
      <c r="EH126" s="121">
        <f>EE126+(EL126-EE126)*3/7</f>
        <v>0.98387406970447211</v>
      </c>
      <c r="EI126" s="121">
        <f>EE126+(EL126-EE126)*4/7</f>
        <v>0.97888365224861917</v>
      </c>
      <c r="EJ126" s="121">
        <f>EE126+(EL126-EE126)*5/7</f>
        <v>0.97389323479276624</v>
      </c>
      <c r="EK126" s="121">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1"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19">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0" t="str">
        <f>_xlfn.XLOOKUP(AK$3&amp;$A127,[3]Calcs!$Q$2:$Q$2281,[3]Calcs!$H$2:$H$2281,"")</f>
        <v/>
      </c>
      <c r="AL127" s="119">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19">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19">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22">
        <f t="shared" ref="ED127:EJ127" si="77">AVERAGE($EL127:$EM127,$EQ127)</f>
        <v>0.82123766712871438</v>
      </c>
      <c r="EE127" s="121">
        <f t="shared" si="77"/>
        <v>0.82123766712871438</v>
      </c>
      <c r="EF127" s="121">
        <f t="shared" si="77"/>
        <v>0.82123766712871438</v>
      </c>
      <c r="EG127" s="121">
        <f t="shared" si="77"/>
        <v>0.82123766712871438</v>
      </c>
      <c r="EH127" s="121">
        <f t="shared" si="77"/>
        <v>0.82123766712871438</v>
      </c>
      <c r="EI127" s="121">
        <f t="shared" si="77"/>
        <v>0.82123766712871438</v>
      </c>
      <c r="EJ127" s="121">
        <f t="shared" si="77"/>
        <v>0.82123766712871438</v>
      </c>
      <c r="EK127" s="6">
        <f t="shared" ref="EK127:ER147" si="78">IFERROR(L127/VLOOKUP($C127,$C$159:$S$166,L$3-2003,0),"")</f>
        <v>0.81137741817753817</v>
      </c>
      <c r="EL127" s="6">
        <f t="shared" si="78"/>
        <v>0.74990096983816446</v>
      </c>
      <c r="EM127" s="6">
        <f t="shared" si="78"/>
        <v>0.77942522111510482</v>
      </c>
      <c r="EN127" s="121">
        <f>EM127+(EQ127-EM127)/4</f>
        <v>0.81816561844454694</v>
      </c>
      <c r="EO127" s="121">
        <f>EM127+(EQ127-EM127)*2/4</f>
        <v>0.85690601577398917</v>
      </c>
      <c r="EP127" s="121">
        <f>EM127+(EQ127-EM127)*3/4</f>
        <v>0.8956464131034314</v>
      </c>
      <c r="EQ127" s="6">
        <f t="shared" si="67"/>
        <v>0.93438681043287353</v>
      </c>
      <c r="ER127" s="121"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19">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0" t="str">
        <f>_xlfn.XLOOKUP(AK$3&amp;$A128,[3]Calcs!$Q$2:$Q$2281,[3]Calcs!$H$2:$H$2281,"")</f>
        <v/>
      </c>
      <c r="AL128" s="119">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19">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19">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19">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1"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19">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0">
        <f>_xlfn.XLOOKUP(AK$3&amp;$A129,[3]Calcs!$Q$2:$Q$2281,[3]Calcs!$H$2:$H$2281,"")</f>
        <v>4.3769850730895996</v>
      </c>
      <c r="AL129" s="119">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19">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19">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19">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1"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19">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0">
        <f>_xlfn.XLOOKUP(AK$3&amp;$A130,[3]Calcs!$Q$2:$Q$2281,[3]Calcs!$H$2:$H$2281,"")</f>
        <v>5.3194832801818848</v>
      </c>
      <c r="AL130" s="119">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19">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19">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19">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19">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0" t="str">
        <f>_xlfn.XLOOKUP(AK$3&amp;$A131,[3]Calcs!$Q$2:$Q$2281,[3]Calcs!$H$2:$H$2281,"")</f>
        <v/>
      </c>
      <c r="AL131" s="119">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19">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19">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19">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1"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19">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0" t="str">
        <f>_xlfn.XLOOKUP(AK$3&amp;$A132,[3]Calcs!$Q$2:$Q$2281,[3]Calcs!$H$2:$H$2281,"")</f>
        <v/>
      </c>
      <c r="AL132" s="119">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19">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19">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22" cm="1">
        <f t="array" ref="ED132">TREND($EG132:$EQ132,$EG$3:$EQ$3,ED$3)</f>
        <v>1.0210048825896649</v>
      </c>
      <c r="EE132" s="121" cm="1">
        <f t="array" ref="EE132">TREND($EG132:$EQ132,$EG$3:$EQ$3,EE$3)</f>
        <v>0.9984685129093549</v>
      </c>
      <c r="EF132" s="121"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1"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19">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0" t="str">
        <f>_xlfn.XLOOKUP(AK$3&amp;$A133,[3]Calcs!$Q$2:$Q$2281,[3]Calcs!$H$2:$H$2281,"")</f>
        <v/>
      </c>
      <c r="AL133" s="119">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19">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19">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19">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1"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19">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0">
        <f>_xlfn.XLOOKUP(AK$3&amp;$A134,[3]Calcs!$Q$2:$Q$2281,[3]Calcs!$H$2:$H$2281,"")</f>
        <v>4.4313640594482422</v>
      </c>
      <c r="AL134" s="119">
        <f t="shared" si="83"/>
        <v>-4.2207808721633185E-3</v>
      </c>
      <c r="AM134" s="6">
        <f t="shared" si="84"/>
        <v>-2.8734207153320313E-3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19">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19">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22" cm="1">
        <f t="array" ref="ED134">TREND($EJ134:$EQ134,$EJ$3:$EQ$3,ED$3)</f>
        <v>0.91148362280827122</v>
      </c>
      <c r="EE134" s="121" cm="1">
        <f t="array" ref="EE134">TREND($EJ134:$EQ134,$EJ$3:$EQ$3,EE$3)</f>
        <v>0.9100924487684412</v>
      </c>
      <c r="EF134" s="121" cm="1">
        <f t="array" ref="EF134">TREND($EJ134:$EQ134,$EJ$3:$EQ$3,EF$3)</f>
        <v>0.90870127472861117</v>
      </c>
      <c r="EG134" s="121" cm="1">
        <f t="array" ref="EG134">TREND($EJ134:$EQ134,$EJ$3:$EQ$3,EG$3)</f>
        <v>0.90731010068878115</v>
      </c>
      <c r="EH134" s="121" cm="1">
        <f t="array" ref="EH134">TREND($EJ134:$EQ134,$EJ$3:$EQ$3,EH$3)</f>
        <v>0.90591892664895157</v>
      </c>
      <c r="EI134" s="121"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19">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0" t="str">
        <f>_xlfn.XLOOKUP(AK$3&amp;$A135,[3]Calcs!$Q$2:$Q$2281,[3]Calcs!$H$2:$H$2281,"")</f>
        <v/>
      </c>
      <c r="AL135" s="119">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19">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19">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22" cm="1">
        <f t="array" ref="ED135">TREND($EI135:$EQ135,$EI$3:$EQ$3,ED$3)</f>
        <v>0.71952779190768013</v>
      </c>
      <c r="EE135" s="121" cm="1">
        <f t="array" ref="EE135">TREND($EI135:$EQ135,$EI$3:$EQ$3,EE$3)</f>
        <v>0.73932679728012118</v>
      </c>
      <c r="EF135" s="121" cm="1">
        <f t="array" ref="EF135">TREND($EI135:$EQ135,$EI$3:$EQ$3,EF$3)</f>
        <v>0.75912580265255514</v>
      </c>
      <c r="EG135" s="121" cm="1">
        <f t="array" ref="EG135">TREND($EI135:$EQ135,$EI$3:$EQ$3,EG$3)</f>
        <v>0.77892480802498909</v>
      </c>
      <c r="EH135" s="121"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1"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19">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0">
        <f>_xlfn.XLOOKUP(AK$3&amp;$A136,[3]Calcs!$Q$2:$Q$2281,[3]Calcs!$H$2:$H$2281,"")</f>
        <v>5.7221627235412598</v>
      </c>
      <c r="AL136" s="119">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19">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19">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22"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19">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0">
        <f>_xlfn.XLOOKUP(AK$3&amp;$A137,[3]Calcs!$Q$2:$Q$2281,[3]Calcs!$H$2:$H$2281,"")</f>
        <v>6.168269157409668</v>
      </c>
      <c r="AL137" s="119">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19">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19">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19">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19">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0">
        <f>_xlfn.XLOOKUP(AK$3&amp;$A138,[3]Calcs!$Q$2:$Q$2281,[3]Calcs!$H$2:$H$2281,"")</f>
        <v>5.5592589378356934</v>
      </c>
      <c r="AL138" s="119">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19">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19">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19"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19">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0" t="str">
        <f>_xlfn.XLOOKUP(AK$3&amp;$A139,[3]Calcs!$Q$2:$Q$2281,[3]Calcs!$H$2:$H$2281,"")</f>
        <v/>
      </c>
      <c r="AL139" s="119">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19">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19">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19" t="str">
        <f>IFERROR(E139/VLOOKUP($C139,$C$159:$S$166,E$3-2003,0),"")</f>
        <v/>
      </c>
      <c r="EE139" s="121" cm="1">
        <f t="array" ref="EE139">TREND($EH139:$EQ139,$EH$3:$EQ$3,EE$3)</f>
        <v>1.2377736674671489</v>
      </c>
      <c r="EF139" s="121" cm="1">
        <f t="array" ref="EF139">TREND($EH139:$EQ139,$EH$3:$EQ$3,EF$3)</f>
        <v>1.2276722377108946</v>
      </c>
      <c r="EG139" s="121"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1"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19">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0" t="str">
        <f>_xlfn.XLOOKUP(AK$3&amp;$A140,[3]Calcs!$Q$2:$Q$2281,[3]Calcs!$H$2:$H$2281,"")</f>
        <v/>
      </c>
      <c r="AL140" s="119">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19">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19">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22"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1"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19">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0">
        <f>_xlfn.XLOOKUP(AK$3&amp;$A141,[3]Calcs!$Q$2:$Q$2281,[3]Calcs!$H$2:$H$2281,"")</f>
        <v>4.8615541458129883</v>
      </c>
      <c r="AL141" s="119">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19">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19">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19"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19">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0">
        <f>_xlfn.XLOOKUP(AK$3&amp;$A142,[3]Calcs!$Q$2:$Q$2281,[3]Calcs!$H$2:$H$2281,"")</f>
        <v>5.5158162117004395</v>
      </c>
      <c r="AL142" s="119">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19">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19">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22"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19">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4.1971817016601563</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0">
        <f>_xlfn.XLOOKUP(AK$3&amp;$A143,[3]Calcs!$Q$2:$Q$2281,[3]Calcs!$H$2:$H$2281,"")</f>
        <v>5.2565035820007324</v>
      </c>
      <c r="AL143" s="119">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19">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19">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22" cm="1">
        <f t="array" ref="ED143">TREND($EG143:$EQ143,$EG$3:$EQ$3,ED$3)</f>
        <v>0.8099282223098605</v>
      </c>
      <c r="EE143" s="121" cm="1">
        <f t="array" ref="EE143">TREND($EG143:$EQ143,$EG$3:$EQ$3,EE$3)</f>
        <v>0.82300606322474934</v>
      </c>
      <c r="EF143" s="121"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19">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0">
        <f>_xlfn.XLOOKUP(AK$3&amp;$A144,[3]Calcs!$Q$2:$Q$2281,[3]Calcs!$H$2:$H$2281,"")</f>
        <v>4.7851653099060059</v>
      </c>
      <c r="AL144" s="119">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19">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19">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19" t="str">
        <f>IFERROR(E144/VLOOKUP($C144,$C$159:$S$166,E$3-2003,0),"")</f>
        <v/>
      </c>
      <c r="EE144" s="121"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19">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0">
        <f>_xlfn.XLOOKUP(AK$3&amp;$A145,[3]Calcs!$Q$2:$Q$2281,[3]Calcs!$H$2:$H$2281,"")</f>
        <v>5.7926955223083496</v>
      </c>
      <c r="AL145" s="119">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19">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19">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19">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19">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6.5991287231445313</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0">
        <f>_xlfn.XLOOKUP(AK$3&amp;$A146,[3]Calcs!$Q$2:$Q$2281,[3]Calcs!$H$2:$H$2281,"")</f>
        <v>6.1506428718566895</v>
      </c>
      <c r="AL146" s="119">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19">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19">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19"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19">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0">
        <f>_xlfn.XLOOKUP(AK$3&amp;$A147,[3]Calcs!$Q$2:$Q$2281,[3]Calcs!$H$2:$H$2281,"")</f>
        <v>6.5595884323120117</v>
      </c>
      <c r="AL147" s="119">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19">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19">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19"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19">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0">
        <f>_xlfn.XLOOKUP(AK$3&amp;$A148,[3]Calcs!$Q$2:$Q$2281,[3]Calcs!$H$2:$H$2281,"")</f>
        <v>6.7510676383972168</v>
      </c>
      <c r="AL148" s="119">
        <f t="shared" si="83"/>
        <v>5.3350820122184332E-2</v>
      </c>
      <c r="AM148" s="6">
        <f t="shared" si="84"/>
        <v>0.21397781372070313</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19">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19">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22">
        <f t="shared" ref="ED148:EN148" si="98">AVERAGE($EO148:$EQ148)</f>
        <v>0.97406801897825301</v>
      </c>
      <c r="EE148" s="121">
        <f t="shared" si="98"/>
        <v>0.97406801897825301</v>
      </c>
      <c r="EF148" s="121">
        <f t="shared" si="98"/>
        <v>0.97406801897825301</v>
      </c>
      <c r="EG148" s="121">
        <f t="shared" si="98"/>
        <v>0.97406801897825301</v>
      </c>
      <c r="EH148" s="121">
        <f t="shared" si="98"/>
        <v>0.97406801897825301</v>
      </c>
      <c r="EI148" s="121">
        <f t="shared" si="98"/>
        <v>0.97406801897825301</v>
      </c>
      <c r="EJ148" s="121">
        <f t="shared" si="98"/>
        <v>0.97406801897825301</v>
      </c>
      <c r="EK148" s="121">
        <f t="shared" si="98"/>
        <v>0.97406801897825301</v>
      </c>
      <c r="EL148" s="121">
        <f t="shared" si="98"/>
        <v>0.97406801897825301</v>
      </c>
      <c r="EM148" s="121">
        <f t="shared" si="98"/>
        <v>0.97406801897825301</v>
      </c>
      <c r="EN148" s="121">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19">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0">
        <f>_xlfn.XLOOKUP(AK$3&amp;$A149,[3]Calcs!$Q$2:$Q$2281,[3]Calcs!$H$2:$H$2281,"")</f>
        <v>5.123143196105957</v>
      </c>
      <c r="AL149" s="119">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19">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19">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19">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19">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5.0949172973632813</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0">
        <f>_xlfn.XLOOKUP(AK$3&amp;$A150,[3]Calcs!$Q$2:$Q$2281,[3]Calcs!$H$2:$H$2281,"")</f>
        <v>5.7710647583007813</v>
      </c>
      <c r="AL150" s="119">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19">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19">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19">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19">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0">
        <f>_xlfn.XLOOKUP(AK$3&amp;$A151,[3]Calcs!$Q$2:$Q$2281,[3]Calcs!$H$2:$H$2281,"")</f>
        <v>5.284390926361084</v>
      </c>
      <c r="AL151" s="119">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19">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19">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19">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1">
        <f>EJ151+(EO151-EJ151)/5</f>
        <v>0.97868970613512396</v>
      </c>
      <c r="EL151" s="121">
        <f>EJ151+(EO151-EJ151)*2/5</f>
        <v>0.96435805457196477</v>
      </c>
      <c r="EM151" s="121">
        <f>EJ151+(EO151-EJ151)*3/5</f>
        <v>0.95002640300880548</v>
      </c>
      <c r="EN151" s="121">
        <f>EJ151+(EO151-EJ151)*4/5</f>
        <v>0.93569475144564629</v>
      </c>
      <c r="EO151" s="6">
        <f t="shared" si="99"/>
        <v>0.92136309988248699</v>
      </c>
      <c r="EP151" s="6">
        <f t="shared" si="99"/>
        <v>0.91958807197394266</v>
      </c>
      <c r="EQ151" s="6">
        <f t="shared" si="99"/>
        <v>0.96524200008872718</v>
      </c>
      <c r="ER151" s="121"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19">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0" t="str">
        <f>_xlfn.XLOOKUP(AK$3&amp;$A152,[3]Calcs!$Q$2:$Q$2281,[3]Calcs!$H$2:$H$2281,"")</f>
        <v/>
      </c>
      <c r="AL152" s="119">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19">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19">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19">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1"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19">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0">
        <f>_xlfn.XLOOKUP(AK$3&amp;$A153,[3]Calcs!$Q$2:$Q$2281,[3]Calcs!$H$2:$H$2281,"")</f>
        <v>6.3913788795471191</v>
      </c>
      <c r="AL153" s="119">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19">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19">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19">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19">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0">
        <f>_xlfn.XLOOKUP(AK$3&amp;$A154,[3]Calcs!$Q$2:$Q$2281,[3]Calcs!$H$2:$H$2281,"")</f>
        <v>6.229008674621582</v>
      </c>
      <c r="AL154" s="119">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19">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19">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19">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19">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0">
        <f>_xlfn.XLOOKUP(AK$3&amp;$A155,[3]Calcs!$Q$2:$Q$2281,[3]Calcs!$H$2:$H$2281,"")</f>
        <v>6.0113649368286133</v>
      </c>
      <c r="AL155" s="119">
        <f t="shared" si="83"/>
        <v>8.2509229471395287E-2</v>
      </c>
      <c r="AM155" s="6">
        <f t="shared" si="84"/>
        <v>0.44845962524414063</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19">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19">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22"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1"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411</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8" t="s">
        <v>412</v>
      </c>
    </row>
    <row r="169" spans="2:163">
      <c r="B169" s="1" t="s">
        <v>159</v>
      </c>
      <c r="C169" s="15">
        <v>1</v>
      </c>
      <c r="CK169" s="123">
        <f t="shared" ref="CK169:CY176" si="107">CK159/DO159</f>
        <v>0.45148083088423735</v>
      </c>
      <c r="CL169" s="124">
        <f t="shared" si="107"/>
        <v>0.98894916142728573</v>
      </c>
      <c r="CM169" s="124">
        <f t="shared" si="107"/>
        <v>0.98904290117919225</v>
      </c>
      <c r="CN169" s="124">
        <f t="shared" si="107"/>
        <v>0.98679506455501964</v>
      </c>
      <c r="CO169" s="124">
        <f t="shared" si="107"/>
        <v>0.98689367535491612</v>
      </c>
      <c r="CP169" s="124">
        <f t="shared" si="107"/>
        <v>0.99417842890772523</v>
      </c>
      <c r="CQ169" s="124">
        <f t="shared" si="107"/>
        <v>0.9942266580254413</v>
      </c>
      <c r="CR169" s="124">
        <f t="shared" si="107"/>
        <v>0.99427259332450579</v>
      </c>
      <c r="CS169" s="124">
        <f t="shared" si="107"/>
        <v>0.99203868362076097</v>
      </c>
      <c r="CT169" s="124">
        <f t="shared" si="107"/>
        <v>0.99209005575096165</v>
      </c>
      <c r="CU169" s="124">
        <f t="shared" si="107"/>
        <v>0.99213948016724596</v>
      </c>
      <c r="CV169" s="124">
        <f t="shared" si="107"/>
        <v>1</v>
      </c>
      <c r="CW169" s="124">
        <f t="shared" si="107"/>
        <v>0.9977694867336756</v>
      </c>
      <c r="CX169" s="124">
        <f t="shared" si="107"/>
        <v>1</v>
      </c>
      <c r="CY169" s="124">
        <f t="shared" si="107"/>
        <v>0.84295088678380614</v>
      </c>
    </row>
    <row r="170" spans="2:163">
      <c r="B170" s="1" t="s">
        <v>165</v>
      </c>
      <c r="C170" s="15">
        <v>2</v>
      </c>
      <c r="CK170" s="123">
        <f t="shared" si="107"/>
        <v>0.85001606542233643</v>
      </c>
      <c r="CL170" s="124">
        <f t="shared" si="107"/>
        <v>0.99938852308165849</v>
      </c>
      <c r="CM170" s="124">
        <f t="shared" si="107"/>
        <v>0.99938040936984385</v>
      </c>
      <c r="CN170" s="124">
        <f t="shared" si="107"/>
        <v>0.9993715329208559</v>
      </c>
      <c r="CO170" s="124">
        <f t="shared" si="107"/>
        <v>0.99936144030796625</v>
      </c>
      <c r="CP170" s="124">
        <f t="shared" si="107"/>
        <v>0.99935000442419042</v>
      </c>
      <c r="CQ170" s="124">
        <f t="shared" si="107"/>
        <v>0.99933745868168433</v>
      </c>
      <c r="CR170" s="124">
        <f t="shared" si="107"/>
        <v>0.99932415418437481</v>
      </c>
      <c r="CS170" s="124">
        <f t="shared" si="107"/>
        <v>0.9993105754468069</v>
      </c>
      <c r="CT170" s="124">
        <f t="shared" si="107"/>
        <v>0.99929709168027248</v>
      </c>
      <c r="CU170" s="124">
        <f t="shared" si="107"/>
        <v>0.99928377110675481</v>
      </c>
      <c r="CV170" s="124">
        <f t="shared" si="107"/>
        <v>1</v>
      </c>
      <c r="CW170" s="124">
        <f t="shared" si="107"/>
        <v>1</v>
      </c>
      <c r="CX170" s="124">
        <f t="shared" si="107"/>
        <v>1</v>
      </c>
      <c r="CY170" s="124">
        <f t="shared" si="107"/>
        <v>0.99923092152292681</v>
      </c>
    </row>
    <row r="171" spans="2:163">
      <c r="B171" s="1" t="s">
        <v>160</v>
      </c>
      <c r="C171" s="15">
        <v>3</v>
      </c>
      <c r="CK171" s="123">
        <f t="shared" si="107"/>
        <v>0.25592688247249756</v>
      </c>
      <c r="CL171" s="124">
        <f t="shared" si="107"/>
        <v>0.97844384622309255</v>
      </c>
      <c r="CM171" s="124">
        <f t="shared" si="107"/>
        <v>0.97830206824670818</v>
      </c>
      <c r="CN171" s="124">
        <f t="shared" si="107"/>
        <v>0.99922709758873751</v>
      </c>
      <c r="CO171" s="124">
        <f t="shared" si="107"/>
        <v>0.98021427925037652</v>
      </c>
      <c r="CP171" s="124">
        <f t="shared" si="107"/>
        <v>0.98005455755751314</v>
      </c>
      <c r="CQ171" s="124">
        <f t="shared" si="107"/>
        <v>0.99921400097138013</v>
      </c>
      <c r="CR171" s="124">
        <f t="shared" si="107"/>
        <v>0.9992132020953447</v>
      </c>
      <c r="CS171" s="124">
        <f t="shared" si="107"/>
        <v>0.99921269232024623</v>
      </c>
      <c r="CT171" s="124">
        <f t="shared" si="107"/>
        <v>0.9992115807821671</v>
      </c>
      <c r="CU171" s="124">
        <f t="shared" si="107"/>
        <v>0.99920972183283308</v>
      </c>
      <c r="CV171" s="124">
        <f t="shared" si="107"/>
        <v>1</v>
      </c>
      <c r="CW171" s="124">
        <f t="shared" si="107"/>
        <v>1</v>
      </c>
      <c r="CX171" s="124">
        <f t="shared" si="107"/>
        <v>1</v>
      </c>
      <c r="CY171" s="124">
        <f t="shared" si="107"/>
        <v>0.99852909736829276</v>
      </c>
    </row>
    <row r="172" spans="2:163">
      <c r="B172" s="1" t="s">
        <v>161</v>
      </c>
      <c r="C172" s="15">
        <v>4</v>
      </c>
      <c r="CK172" s="123">
        <f t="shared" si="107"/>
        <v>5.6927059903135305E-2</v>
      </c>
      <c r="CL172" s="124">
        <f t="shared" si="107"/>
        <v>0.70456003622593522</v>
      </c>
      <c r="CM172" s="124">
        <f t="shared" si="107"/>
        <v>0.77131267627969602</v>
      </c>
      <c r="CN172" s="124">
        <f t="shared" si="107"/>
        <v>0.82683517407155827</v>
      </c>
      <c r="CO172" s="124">
        <f t="shared" si="107"/>
        <v>0.98567273649825071</v>
      </c>
      <c r="CP172" s="124">
        <f t="shared" si="107"/>
        <v>0.98585819898602223</v>
      </c>
      <c r="CQ172" s="124">
        <f t="shared" si="107"/>
        <v>1</v>
      </c>
      <c r="CR172" s="124">
        <f t="shared" si="107"/>
        <v>1</v>
      </c>
      <c r="CS172" s="124">
        <f t="shared" si="107"/>
        <v>1</v>
      </c>
      <c r="CT172" s="124">
        <f t="shared" si="107"/>
        <v>1</v>
      </c>
      <c r="CU172" s="124">
        <f t="shared" si="107"/>
        <v>0.99458230508181544</v>
      </c>
      <c r="CV172" s="124">
        <f t="shared" si="107"/>
        <v>0.99454033326752311</v>
      </c>
      <c r="CW172" s="124">
        <f t="shared" si="107"/>
        <v>0.99452304945261938</v>
      </c>
      <c r="CX172" s="124">
        <f t="shared" si="107"/>
        <v>1</v>
      </c>
      <c r="CY172" s="124">
        <f t="shared" si="107"/>
        <v>0.8100572139971437</v>
      </c>
    </row>
    <row r="173" spans="2:163">
      <c r="B173" s="1" t="s">
        <v>162</v>
      </c>
      <c r="C173" s="15">
        <v>5</v>
      </c>
      <c r="CK173" s="123">
        <f t="shared" si="107"/>
        <v>0.69320948850539688</v>
      </c>
      <c r="CL173" s="124">
        <f t="shared" si="107"/>
        <v>0.71010322787693114</v>
      </c>
      <c r="CM173" s="124">
        <f t="shared" si="107"/>
        <v>0.72297326740673062</v>
      </c>
      <c r="CN173" s="124">
        <f t="shared" si="107"/>
        <v>0.8197434056431171</v>
      </c>
      <c r="CO173" s="124">
        <f t="shared" si="107"/>
        <v>0.82001919258168621</v>
      </c>
      <c r="CP173" s="124">
        <f t="shared" si="107"/>
        <v>0.88989158559449411</v>
      </c>
      <c r="CQ173" s="124">
        <f t="shared" si="107"/>
        <v>0.980841830879848</v>
      </c>
      <c r="CR173" s="124">
        <f t="shared" si="107"/>
        <v>0.9802302218759994</v>
      </c>
      <c r="CS173" s="124">
        <f t="shared" si="107"/>
        <v>0.99080164534084469</v>
      </c>
      <c r="CT173" s="124">
        <f t="shared" si="107"/>
        <v>0.94931331374358974</v>
      </c>
      <c r="CU173" s="124">
        <f t="shared" si="107"/>
        <v>0.95647207093439912</v>
      </c>
      <c r="CV173" s="124">
        <f t="shared" si="107"/>
        <v>0.95660957046890038</v>
      </c>
      <c r="CW173" s="124">
        <f t="shared" si="107"/>
        <v>0.87098122821135393</v>
      </c>
      <c r="CX173" s="124">
        <f t="shared" si="107"/>
        <v>1</v>
      </c>
      <c r="CY173" s="124">
        <f t="shared" si="107"/>
        <v>0.58594713442709612</v>
      </c>
    </row>
    <row r="174" spans="2:163">
      <c r="B174" s="1" t="s">
        <v>163</v>
      </c>
      <c r="C174" s="15">
        <v>6</v>
      </c>
      <c r="CK174" s="123">
        <f t="shared" si="107"/>
        <v>0.87616460260080187</v>
      </c>
      <c r="CL174" s="124">
        <f t="shared" si="107"/>
        <v>0.98228871486381919</v>
      </c>
      <c r="CM174" s="124">
        <f t="shared" si="107"/>
        <v>0.99957804563068609</v>
      </c>
      <c r="CN174" s="124">
        <f t="shared" si="107"/>
        <v>0.99958004881844187</v>
      </c>
      <c r="CO174" s="124">
        <f t="shared" si="107"/>
        <v>0.99958160972836929</v>
      </c>
      <c r="CP174" s="124">
        <f t="shared" si="107"/>
        <v>0.9995826407578503</v>
      </c>
      <c r="CQ174" s="124">
        <f t="shared" si="107"/>
        <v>0.99958324770069618</v>
      </c>
      <c r="CR174" s="124">
        <f t="shared" si="107"/>
        <v>1</v>
      </c>
      <c r="CS174" s="124">
        <f t="shared" si="107"/>
        <v>1</v>
      </c>
      <c r="CT174" s="124">
        <f t="shared" si="107"/>
        <v>1</v>
      </c>
      <c r="CU174" s="124">
        <f t="shared" si="107"/>
        <v>0.99958390653689988</v>
      </c>
      <c r="CV174" s="124">
        <f t="shared" si="107"/>
        <v>0.99958396565442831</v>
      </c>
      <c r="CW174" s="124">
        <f t="shared" si="107"/>
        <v>0.99958401058660284</v>
      </c>
      <c r="CX174" s="124">
        <f t="shared" si="107"/>
        <v>1</v>
      </c>
      <c r="CY174" s="124">
        <f t="shared" si="107"/>
        <v>0.83234384743165701</v>
      </c>
    </row>
    <row r="175" spans="2:163">
      <c r="B175" s="1" t="s">
        <v>166</v>
      </c>
      <c r="C175" s="15">
        <v>7</v>
      </c>
      <c r="CK175" s="123">
        <f t="shared" si="107"/>
        <v>0.72159807104383189</v>
      </c>
      <c r="CL175" s="124">
        <f t="shared" si="107"/>
        <v>0.98793307773000483</v>
      </c>
      <c r="CM175" s="124">
        <f t="shared" si="107"/>
        <v>0.98777875284445371</v>
      </c>
      <c r="CN175" s="124">
        <f t="shared" si="107"/>
        <v>1</v>
      </c>
      <c r="CO175" s="124">
        <f t="shared" si="107"/>
        <v>1</v>
      </c>
      <c r="CP175" s="124">
        <f t="shared" si="107"/>
        <v>1</v>
      </c>
      <c r="CQ175" s="124">
        <f t="shared" si="107"/>
        <v>1</v>
      </c>
      <c r="CR175" s="124">
        <f t="shared" si="107"/>
        <v>1</v>
      </c>
      <c r="CS175" s="124">
        <f t="shared" si="107"/>
        <v>1</v>
      </c>
      <c r="CT175" s="124">
        <f t="shared" si="107"/>
        <v>1</v>
      </c>
      <c r="CU175" s="124">
        <f t="shared" si="107"/>
        <v>1</v>
      </c>
      <c r="CV175" s="124">
        <f t="shared" si="107"/>
        <v>1</v>
      </c>
      <c r="CW175" s="124">
        <f t="shared" si="107"/>
        <v>1</v>
      </c>
      <c r="CX175" s="124">
        <f t="shared" si="107"/>
        <v>1</v>
      </c>
      <c r="CY175" s="124">
        <f t="shared" si="107"/>
        <v>0.80372860513040212</v>
      </c>
    </row>
    <row r="176" spans="2:163">
      <c r="B176" s="1" t="s">
        <v>164</v>
      </c>
      <c r="C176" s="15">
        <v>8</v>
      </c>
      <c r="CK176" s="123">
        <f t="shared" si="107"/>
        <v>0.90074131365502197</v>
      </c>
      <c r="CL176" s="124">
        <f t="shared" si="107"/>
        <v>0.96272498625972858</v>
      </c>
      <c r="CM176" s="124">
        <f t="shared" si="107"/>
        <v>0.96278021121589408</v>
      </c>
      <c r="CN176" s="124">
        <f t="shared" si="107"/>
        <v>0.96283290633305574</v>
      </c>
      <c r="CO176" s="124">
        <f t="shared" si="107"/>
        <v>0.96287545236417393</v>
      </c>
      <c r="CP176" s="124">
        <f t="shared" si="107"/>
        <v>0.96290408230011482</v>
      </c>
      <c r="CQ176" s="124">
        <f t="shared" si="107"/>
        <v>0.98622403339554388</v>
      </c>
      <c r="CR176" s="124">
        <f t="shared" si="107"/>
        <v>0.98332397390457471</v>
      </c>
      <c r="CS176" s="124">
        <f t="shared" si="107"/>
        <v>0.98334222820591033</v>
      </c>
      <c r="CT176" s="124">
        <f t="shared" si="107"/>
        <v>0.98335564579032453</v>
      </c>
      <c r="CU176" s="124">
        <f t="shared" si="107"/>
        <v>0.9833633815043209</v>
      </c>
      <c r="CV176" s="124">
        <f t="shared" si="107"/>
        <v>1</v>
      </c>
      <c r="CW176" s="124">
        <f t="shared" si="107"/>
        <v>1</v>
      </c>
      <c r="CX176" s="124">
        <f t="shared" si="107"/>
        <v>1</v>
      </c>
      <c r="CY176" s="124">
        <f t="shared" si="107"/>
        <v>0.80856437794839964</v>
      </c>
    </row>
    <row r="178" spans="2:88">
      <c r="B178" s="1" t="s">
        <v>413</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414</v>
      </c>
    </row>
    <row r="188" spans="2:88">
      <c r="B188" t="s">
        <v>406</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A162" zoomScale="90" zoomScaleNormal="90" workbookViewId="0">
      <selection activeCell="B144" sqref="B144:B146"/>
    </sheetView>
  </sheetViews>
  <sheetFormatPr defaultColWidth="10.81640625" defaultRowHeight="15.5"/>
  <cols>
    <col min="1" max="1" width="10.81640625" style="125"/>
    <col min="2" max="2" width="29.26953125" style="127" customWidth="1"/>
    <col min="3" max="5" width="37" style="127" customWidth="1"/>
    <col min="6" max="6" width="10.81640625" style="127"/>
    <col min="7" max="7" width="29.26953125" style="127" customWidth="1"/>
    <col min="8" max="10" width="37" style="127" customWidth="1"/>
    <col min="11" max="16384" width="10.81640625" style="127"/>
  </cols>
  <sheetData>
    <row r="1" spans="1:10" s="125" customFormat="1" ht="25">
      <c r="B1" s="176" t="s">
        <v>458</v>
      </c>
      <c r="C1" s="149"/>
      <c r="D1" s="149"/>
      <c r="E1" s="149"/>
      <c r="G1" s="149"/>
      <c r="H1" s="149"/>
      <c r="I1" s="149"/>
      <c r="J1" s="149"/>
    </row>
    <row r="2" spans="1:10" s="125" customFormat="1">
      <c r="A2" s="128"/>
      <c r="B2" s="170"/>
      <c r="C2" s="171"/>
      <c r="D2" s="171"/>
      <c r="E2" s="172"/>
      <c r="F2" s="173"/>
      <c r="G2" s="149"/>
      <c r="H2" s="149"/>
      <c r="I2" s="149"/>
      <c r="J2" s="149"/>
    </row>
    <row r="3" spans="1:10" s="125" customFormat="1" ht="100">
      <c r="A3" s="128"/>
      <c r="B3" s="129" t="s">
        <v>415</v>
      </c>
      <c r="C3" s="130" t="s">
        <v>169</v>
      </c>
      <c r="D3" s="130" t="s">
        <v>416</v>
      </c>
      <c r="E3" s="130" t="s">
        <v>417</v>
      </c>
      <c r="F3" s="173"/>
      <c r="G3" s="149"/>
      <c r="H3" s="149"/>
      <c r="I3" s="149"/>
      <c r="J3" s="149"/>
    </row>
    <row r="4" spans="1:10" s="125" customFormat="1" ht="57">
      <c r="A4" s="128"/>
      <c r="B4" s="132" t="s">
        <v>372</v>
      </c>
      <c r="C4" s="133" t="s">
        <v>418</v>
      </c>
      <c r="D4" s="133" t="s">
        <v>419</v>
      </c>
      <c r="E4" s="132" t="s">
        <v>420</v>
      </c>
      <c r="F4" s="173"/>
      <c r="G4" s="149"/>
      <c r="H4" s="149"/>
      <c r="I4" s="149"/>
      <c r="J4" s="149"/>
    </row>
    <row r="5" spans="1:10" s="125" customFormat="1" ht="57">
      <c r="A5" s="128"/>
      <c r="B5" s="134" t="s">
        <v>462</v>
      </c>
      <c r="C5" s="135" t="s">
        <v>421</v>
      </c>
      <c r="D5" s="135" t="s">
        <v>422</v>
      </c>
      <c r="E5" s="134" t="s">
        <v>423</v>
      </c>
      <c r="F5" s="173"/>
      <c r="G5" s="149"/>
      <c r="H5" s="149"/>
      <c r="I5" s="149"/>
      <c r="J5" s="149"/>
    </row>
    <row r="6" spans="1:10" s="125" customFormat="1" ht="38">
      <c r="A6" s="128"/>
      <c r="B6" s="136" t="s">
        <v>373</v>
      </c>
      <c r="C6" s="137" t="s">
        <v>424</v>
      </c>
      <c r="D6" s="137" t="s">
        <v>425</v>
      </c>
      <c r="E6" s="136" t="s">
        <v>426</v>
      </c>
      <c r="F6" s="173"/>
      <c r="G6" s="149"/>
      <c r="H6" s="149"/>
      <c r="I6" s="149"/>
      <c r="J6" s="149"/>
    </row>
    <row r="7" spans="1:10" s="125" customFormat="1">
      <c r="A7" s="128"/>
      <c r="B7" s="170"/>
      <c r="C7" s="171"/>
      <c r="D7" s="171"/>
      <c r="E7" s="172"/>
      <c r="F7" s="173"/>
      <c r="G7" s="149"/>
      <c r="H7" s="149"/>
      <c r="I7" s="149"/>
      <c r="J7" s="149"/>
    </row>
    <row r="8" spans="1:10" s="125" customFormat="1" ht="25">
      <c r="A8" s="128"/>
      <c r="B8" s="176" t="s">
        <v>456</v>
      </c>
      <c r="C8" s="171"/>
      <c r="D8" s="171"/>
      <c r="E8" s="172"/>
      <c r="F8" s="173"/>
      <c r="G8" s="149"/>
      <c r="H8" s="149"/>
      <c r="I8" s="149"/>
      <c r="J8" s="149"/>
    </row>
    <row r="9" spans="1:10" s="125" customFormat="1" ht="16" thickBot="1">
      <c r="A9" s="128"/>
      <c r="B9" s="170"/>
      <c r="C9" s="171"/>
      <c r="D9" s="171"/>
      <c r="E9" s="172"/>
      <c r="F9" s="173"/>
      <c r="G9" s="149"/>
      <c r="H9" s="149"/>
      <c r="I9" s="149"/>
      <c r="J9" s="149"/>
    </row>
    <row r="10" spans="1:10" s="125" customFormat="1" ht="125.5" thickBot="1">
      <c r="A10" s="128"/>
      <c r="B10" s="139" t="s">
        <v>427</v>
      </c>
      <c r="C10" s="140" t="s">
        <v>428</v>
      </c>
      <c r="D10" s="141" t="s">
        <v>429</v>
      </c>
      <c r="E10" s="142" t="s">
        <v>430</v>
      </c>
      <c r="F10" s="173"/>
      <c r="G10" s="149"/>
      <c r="H10" s="149"/>
      <c r="I10" s="149"/>
      <c r="J10" s="149"/>
    </row>
    <row r="11" spans="1:10" s="125" customFormat="1" ht="41.15" customHeight="1">
      <c r="A11" s="128"/>
      <c r="B11" s="187" t="s">
        <v>463</v>
      </c>
      <c r="C11" s="143" t="s">
        <v>431</v>
      </c>
      <c r="D11" s="143" t="s">
        <v>432</v>
      </c>
      <c r="E11" s="144" t="s">
        <v>433</v>
      </c>
      <c r="F11" s="173"/>
      <c r="G11" s="149"/>
      <c r="H11" s="149"/>
      <c r="I11" s="149"/>
      <c r="J11" s="149"/>
    </row>
    <row r="12" spans="1:10" s="125" customFormat="1" ht="41.15" customHeight="1">
      <c r="A12" s="128"/>
      <c r="B12" s="188"/>
      <c r="C12" s="145" t="s">
        <v>434</v>
      </c>
      <c r="D12" s="145" t="s">
        <v>435</v>
      </c>
      <c r="E12" s="146" t="s">
        <v>436</v>
      </c>
      <c r="F12" s="173"/>
      <c r="G12" s="149"/>
      <c r="H12" s="149"/>
      <c r="I12" s="149"/>
      <c r="J12" s="149"/>
    </row>
    <row r="13" spans="1:10" s="125" customFormat="1" ht="41.15" customHeight="1" thickBot="1">
      <c r="A13" s="128"/>
      <c r="B13" s="189"/>
      <c r="C13" s="147" t="s">
        <v>437</v>
      </c>
      <c r="D13" s="147" t="s">
        <v>438</v>
      </c>
      <c r="E13" s="147" t="s">
        <v>439</v>
      </c>
      <c r="F13" s="173"/>
      <c r="G13" s="149"/>
      <c r="H13" s="149"/>
      <c r="I13" s="149"/>
      <c r="J13" s="149"/>
    </row>
    <row r="14" spans="1:10" s="125" customFormat="1" ht="41.15" customHeight="1">
      <c r="A14" s="128"/>
      <c r="B14" s="190" t="s">
        <v>464</v>
      </c>
      <c r="C14" s="143" t="s">
        <v>440</v>
      </c>
      <c r="D14" s="143" t="s">
        <v>441</v>
      </c>
      <c r="E14" s="144" t="s">
        <v>442</v>
      </c>
      <c r="F14" s="173"/>
      <c r="G14" s="149"/>
      <c r="H14" s="149"/>
      <c r="I14" s="149"/>
      <c r="J14" s="149"/>
    </row>
    <row r="15" spans="1:10" s="125" customFormat="1" ht="41.15" customHeight="1">
      <c r="A15" s="128"/>
      <c r="B15" s="191"/>
      <c r="C15" s="145" t="s">
        <v>443</v>
      </c>
      <c r="D15" s="145" t="s">
        <v>444</v>
      </c>
      <c r="E15" s="146" t="s">
        <v>445</v>
      </c>
      <c r="F15" s="173"/>
      <c r="G15" s="149"/>
      <c r="H15" s="149"/>
      <c r="I15" s="149"/>
      <c r="J15" s="149"/>
    </row>
    <row r="16" spans="1:10" s="125" customFormat="1" ht="41.15" customHeight="1" thickBot="1">
      <c r="A16" s="128"/>
      <c r="B16" s="191"/>
      <c r="C16" s="147" t="s">
        <v>446</v>
      </c>
      <c r="D16" s="147" t="s">
        <v>447</v>
      </c>
      <c r="E16" s="147" t="s">
        <v>448</v>
      </c>
      <c r="F16" s="173"/>
      <c r="G16" s="149"/>
      <c r="H16" s="149"/>
      <c r="I16" s="149"/>
      <c r="J16" s="149"/>
    </row>
    <row r="17" spans="1:10" s="125" customFormat="1" ht="41.15" customHeight="1">
      <c r="A17" s="128"/>
      <c r="B17" s="192" t="s">
        <v>465</v>
      </c>
      <c r="C17" s="143" t="s">
        <v>433</v>
      </c>
      <c r="D17" s="143" t="s">
        <v>449</v>
      </c>
      <c r="E17" s="144" t="s">
        <v>450</v>
      </c>
      <c r="F17" s="173"/>
      <c r="G17" s="149"/>
      <c r="H17" s="149"/>
      <c r="I17" s="149"/>
      <c r="J17" s="149"/>
    </row>
    <row r="18" spans="1:10" s="125" customFormat="1" ht="41.15" customHeight="1">
      <c r="A18" s="128"/>
      <c r="B18" s="193"/>
      <c r="C18" s="145" t="s">
        <v>436</v>
      </c>
      <c r="D18" s="145" t="s">
        <v>451</v>
      </c>
      <c r="E18" s="146" t="s">
        <v>452</v>
      </c>
      <c r="F18" s="173"/>
      <c r="G18" s="149"/>
      <c r="H18" s="149"/>
      <c r="I18" s="149"/>
      <c r="J18" s="149"/>
    </row>
    <row r="19" spans="1:10" s="125" customFormat="1" ht="41.15" customHeight="1" thickBot="1">
      <c r="A19" s="128"/>
      <c r="B19" s="194"/>
      <c r="C19" s="148" t="s">
        <v>439</v>
      </c>
      <c r="D19" s="147" t="s">
        <v>453</v>
      </c>
      <c r="E19" s="147" t="s">
        <v>454</v>
      </c>
      <c r="F19" s="173"/>
      <c r="G19" s="149"/>
      <c r="H19" s="149"/>
      <c r="I19" s="149"/>
      <c r="J19" s="149"/>
    </row>
    <row r="20" spans="1:10" s="125" customFormat="1">
      <c r="A20" s="128"/>
      <c r="B20" s="138"/>
      <c r="C20" s="138"/>
      <c r="D20" s="138"/>
      <c r="E20" s="138"/>
      <c r="F20" s="173"/>
      <c r="G20" s="149"/>
      <c r="H20" s="149"/>
      <c r="I20" s="149"/>
      <c r="J20" s="149"/>
    </row>
    <row r="21" spans="1:10" s="125" customFormat="1" ht="25">
      <c r="A21" s="174"/>
      <c r="B21" s="175" t="s">
        <v>457</v>
      </c>
      <c r="C21" s="126"/>
      <c r="D21" s="126"/>
      <c r="E21" s="126"/>
      <c r="F21" s="173"/>
      <c r="G21" s="149"/>
      <c r="H21" s="149"/>
      <c r="I21" s="149"/>
      <c r="J21" s="149"/>
    </row>
    <row r="22" spans="1:10" s="125" customFormat="1">
      <c r="A22" s="128"/>
      <c r="B22" s="170"/>
      <c r="C22" s="171"/>
      <c r="D22" s="171"/>
      <c r="E22" s="172"/>
      <c r="F22" s="173"/>
      <c r="G22" s="149"/>
      <c r="H22" s="149"/>
      <c r="I22" s="149"/>
      <c r="J22" s="149"/>
    </row>
    <row r="23" spans="1:10" ht="161.15" customHeight="1">
      <c r="A23" s="128"/>
      <c r="B23" s="150" t="s">
        <v>427</v>
      </c>
      <c r="C23" s="151" t="s">
        <v>428</v>
      </c>
      <c r="D23" s="152" t="s">
        <v>429</v>
      </c>
      <c r="E23" s="153" t="s">
        <v>430</v>
      </c>
      <c r="F23" s="131"/>
    </row>
    <row r="24" spans="1:10" ht="25" customHeight="1">
      <c r="A24" s="128"/>
      <c r="B24" s="195" t="s">
        <v>463</v>
      </c>
      <c r="C24" s="154" t="s">
        <v>431</v>
      </c>
      <c r="D24" s="155" t="s">
        <v>432</v>
      </c>
      <c r="E24" s="156" t="s">
        <v>433</v>
      </c>
      <c r="F24" s="131"/>
    </row>
    <row r="25" spans="1:10" ht="25" customHeight="1">
      <c r="A25" s="128"/>
      <c r="B25" s="196"/>
      <c r="C25" s="157" t="s">
        <v>434</v>
      </c>
      <c r="D25" s="158" t="s">
        <v>435</v>
      </c>
      <c r="E25" s="159" t="s">
        <v>436</v>
      </c>
      <c r="F25" s="131"/>
    </row>
    <row r="26" spans="1:10" ht="25" customHeight="1">
      <c r="A26" s="128"/>
      <c r="B26" s="196"/>
      <c r="C26" s="160" t="s">
        <v>437</v>
      </c>
      <c r="D26" s="161" t="s">
        <v>438</v>
      </c>
      <c r="E26" s="162" t="s">
        <v>439</v>
      </c>
      <c r="F26" s="131"/>
    </row>
    <row r="27" spans="1:10" ht="16" customHeight="1">
      <c r="A27" s="128"/>
      <c r="B27" s="196"/>
      <c r="C27" s="163" t="s">
        <v>138</v>
      </c>
      <c r="D27" s="164" t="s">
        <v>139</v>
      </c>
      <c r="E27" s="165" t="s">
        <v>455</v>
      </c>
      <c r="F27" s="131"/>
    </row>
    <row r="28" spans="1:10" ht="16" customHeight="1">
      <c r="A28" s="128"/>
      <c r="B28" s="196"/>
      <c r="C28" s="163" t="s">
        <v>89</v>
      </c>
      <c r="D28" s="164" t="s">
        <v>140</v>
      </c>
      <c r="E28" s="165"/>
      <c r="F28" s="131"/>
    </row>
    <row r="29" spans="1:10" ht="16" customHeight="1">
      <c r="A29" s="128"/>
      <c r="B29" s="196"/>
      <c r="C29" s="163" t="s">
        <v>80</v>
      </c>
      <c r="D29" s="164" t="s">
        <v>104</v>
      </c>
      <c r="E29" s="165"/>
      <c r="F29" s="131"/>
    </row>
    <row r="30" spans="1:10" ht="16" customHeight="1">
      <c r="A30" s="128"/>
      <c r="B30" s="196"/>
      <c r="C30" s="163" t="s">
        <v>106</v>
      </c>
      <c r="D30" s="164" t="s">
        <v>71</v>
      </c>
      <c r="E30" s="165"/>
      <c r="F30" s="131"/>
    </row>
    <row r="31" spans="1:10" ht="16" customHeight="1">
      <c r="A31" s="128"/>
      <c r="B31" s="196"/>
      <c r="C31" s="163" t="s">
        <v>96</v>
      </c>
      <c r="D31" s="164" t="s">
        <v>128</v>
      </c>
      <c r="E31" s="165"/>
      <c r="F31" s="131"/>
    </row>
    <row r="32" spans="1:10" ht="16" customHeight="1">
      <c r="A32" s="128"/>
      <c r="B32" s="196"/>
      <c r="C32" s="163" t="s">
        <v>153</v>
      </c>
      <c r="D32" s="164" t="s">
        <v>109</v>
      </c>
      <c r="E32" s="165"/>
      <c r="F32" s="131"/>
    </row>
    <row r="33" spans="1:10" ht="16" customHeight="1">
      <c r="A33" s="128"/>
      <c r="B33" s="196"/>
      <c r="C33" s="163" t="s">
        <v>68</v>
      </c>
      <c r="D33" s="164" t="s">
        <v>110</v>
      </c>
      <c r="E33" s="165"/>
      <c r="F33" s="131"/>
    </row>
    <row r="34" spans="1:10" ht="16" customHeight="1">
      <c r="A34" s="128"/>
      <c r="B34" s="196"/>
      <c r="C34" s="163" t="s">
        <v>43</v>
      </c>
      <c r="D34" s="164" t="s">
        <v>118</v>
      </c>
      <c r="E34" s="165"/>
      <c r="F34" s="131"/>
    </row>
    <row r="35" spans="1:10" ht="16" customHeight="1">
      <c r="A35" s="128"/>
      <c r="B35" s="196"/>
      <c r="C35" s="163" t="s">
        <v>82</v>
      </c>
      <c r="D35" s="164" t="s">
        <v>133</v>
      </c>
      <c r="E35" s="165"/>
      <c r="F35" s="131"/>
      <c r="G35" s="138"/>
      <c r="H35" s="138"/>
      <c r="I35" s="138"/>
      <c r="J35" s="138"/>
    </row>
    <row r="36" spans="1:10" ht="16" customHeight="1">
      <c r="A36" s="128"/>
      <c r="B36" s="196"/>
      <c r="C36" s="163" t="s">
        <v>73</v>
      </c>
      <c r="D36" s="164" t="s">
        <v>102</v>
      </c>
      <c r="E36" s="165"/>
      <c r="F36" s="131"/>
    </row>
    <row r="37" spans="1:10" ht="16" customHeight="1">
      <c r="A37" s="128"/>
      <c r="B37" s="196"/>
      <c r="C37" s="163" t="s">
        <v>98</v>
      </c>
      <c r="D37" s="164" t="s">
        <v>125</v>
      </c>
      <c r="E37" s="165"/>
      <c r="F37" s="131"/>
    </row>
    <row r="38" spans="1:10" ht="16" customHeight="1">
      <c r="A38" s="128"/>
      <c r="B38" s="196"/>
      <c r="C38" s="163" t="s">
        <v>124</v>
      </c>
      <c r="D38" s="164" t="s">
        <v>132</v>
      </c>
      <c r="E38" s="165"/>
      <c r="F38" s="131"/>
    </row>
    <row r="39" spans="1:10" ht="16" customHeight="1">
      <c r="A39" s="128"/>
      <c r="B39" s="196"/>
      <c r="C39" s="163" t="s">
        <v>53</v>
      </c>
      <c r="D39" s="164"/>
      <c r="E39" s="165"/>
      <c r="F39" s="131"/>
    </row>
    <row r="40" spans="1:10" ht="16" customHeight="1">
      <c r="A40" s="128"/>
      <c r="B40" s="196"/>
      <c r="C40" s="163" t="s">
        <v>150</v>
      </c>
      <c r="D40" s="164"/>
      <c r="E40" s="165"/>
      <c r="F40" s="131"/>
    </row>
    <row r="41" spans="1:10" ht="16" customHeight="1">
      <c r="A41" s="128"/>
      <c r="B41" s="196"/>
      <c r="C41" s="163" t="s">
        <v>47</v>
      </c>
      <c r="D41" s="164"/>
      <c r="E41" s="165"/>
      <c r="F41" s="131"/>
    </row>
    <row r="42" spans="1:10" ht="16" customHeight="1">
      <c r="A42" s="128"/>
      <c r="B42" s="196"/>
      <c r="C42" s="163" t="s">
        <v>60</v>
      </c>
      <c r="D42" s="164"/>
      <c r="E42" s="165"/>
      <c r="F42" s="131"/>
    </row>
    <row r="43" spans="1:10" ht="16" customHeight="1">
      <c r="A43" s="128"/>
      <c r="B43" s="196"/>
      <c r="C43" s="163" t="s">
        <v>100</v>
      </c>
      <c r="D43" s="164"/>
      <c r="E43" s="165"/>
      <c r="F43" s="131"/>
    </row>
    <row r="44" spans="1:10" ht="16" customHeight="1">
      <c r="A44" s="128"/>
      <c r="B44" s="196"/>
      <c r="C44" s="163" t="s">
        <v>105</v>
      </c>
      <c r="D44" s="164"/>
      <c r="E44" s="165"/>
      <c r="F44" s="131"/>
    </row>
    <row r="45" spans="1:10" ht="16" customHeight="1">
      <c r="A45" s="128"/>
      <c r="B45" s="196"/>
      <c r="C45" s="163" t="s">
        <v>55</v>
      </c>
      <c r="D45" s="164"/>
      <c r="E45" s="165"/>
      <c r="F45" s="131"/>
    </row>
    <row r="46" spans="1:10" ht="16" customHeight="1">
      <c r="A46" s="128"/>
      <c r="B46" s="196"/>
      <c r="C46" s="163" t="s">
        <v>91</v>
      </c>
      <c r="D46" s="164"/>
      <c r="E46" s="165"/>
      <c r="F46" s="131"/>
    </row>
    <row r="47" spans="1:10" ht="16" customHeight="1">
      <c r="A47" s="128"/>
      <c r="B47" s="196"/>
      <c r="C47" s="163" t="s">
        <v>129</v>
      </c>
      <c r="D47" s="164"/>
      <c r="E47" s="165"/>
      <c r="F47" s="131"/>
    </row>
    <row r="48" spans="1:10" ht="16" customHeight="1">
      <c r="A48" s="128"/>
      <c r="B48" s="196"/>
      <c r="C48" s="163" t="s">
        <v>51</v>
      </c>
      <c r="D48" s="164"/>
      <c r="E48" s="165"/>
      <c r="F48" s="131"/>
    </row>
    <row r="49" spans="1:6" ht="16" customHeight="1">
      <c r="A49" s="128"/>
      <c r="B49" s="196"/>
      <c r="C49" s="163" t="s">
        <v>93</v>
      </c>
      <c r="D49" s="164"/>
      <c r="E49" s="165"/>
      <c r="F49" s="131"/>
    </row>
    <row r="50" spans="1:6" ht="16" customHeight="1">
      <c r="A50" s="128"/>
      <c r="B50" s="196"/>
      <c r="C50" s="163" t="s">
        <v>143</v>
      </c>
      <c r="D50" s="164"/>
      <c r="E50" s="165"/>
      <c r="F50" s="131"/>
    </row>
    <row r="51" spans="1:6" ht="16" customHeight="1">
      <c r="A51" s="128"/>
      <c r="B51" s="196"/>
      <c r="C51" s="163" t="s">
        <v>99</v>
      </c>
      <c r="D51" s="164"/>
      <c r="E51" s="165"/>
      <c r="F51" s="131"/>
    </row>
    <row r="52" spans="1:6" ht="16" customHeight="1">
      <c r="A52" s="128"/>
      <c r="B52" s="196"/>
      <c r="C52" s="163" t="s">
        <v>117</v>
      </c>
      <c r="D52" s="164"/>
      <c r="E52" s="165"/>
      <c r="F52" s="131"/>
    </row>
    <row r="53" spans="1:6" ht="16" customHeight="1">
      <c r="A53" s="128"/>
      <c r="B53" s="196"/>
      <c r="C53" s="163" t="s">
        <v>115</v>
      </c>
      <c r="D53" s="164"/>
      <c r="E53" s="165"/>
      <c r="F53" s="131"/>
    </row>
    <row r="54" spans="1:6" ht="16" customHeight="1">
      <c r="A54" s="128"/>
      <c r="B54" s="196"/>
      <c r="C54" s="163" t="s">
        <v>56</v>
      </c>
      <c r="D54" s="164"/>
      <c r="E54" s="165"/>
      <c r="F54" s="131"/>
    </row>
    <row r="55" spans="1:6" ht="16" customHeight="1">
      <c r="A55" s="128"/>
      <c r="B55" s="196"/>
      <c r="C55" s="163" t="s">
        <v>48</v>
      </c>
      <c r="D55" s="164"/>
      <c r="E55" s="165"/>
      <c r="F55" s="131"/>
    </row>
    <row r="56" spans="1:6" ht="16" customHeight="1">
      <c r="A56" s="128"/>
      <c r="B56" s="196"/>
      <c r="C56" s="163" t="s">
        <v>126</v>
      </c>
      <c r="D56" s="164"/>
      <c r="E56" s="165"/>
      <c r="F56" s="131"/>
    </row>
    <row r="57" spans="1:6" ht="16" customHeight="1">
      <c r="A57" s="128"/>
      <c r="B57" s="197"/>
      <c r="C57" s="166" t="s">
        <v>146</v>
      </c>
      <c r="D57" s="167"/>
      <c r="E57" s="168"/>
      <c r="F57" s="131"/>
    </row>
    <row r="58" spans="1:6" ht="16" customHeight="1">
      <c r="A58" s="128"/>
      <c r="B58" s="169"/>
      <c r="C58" s="169"/>
      <c r="D58" s="169"/>
      <c r="E58" s="169"/>
      <c r="F58" s="131"/>
    </row>
    <row r="59" spans="1:6" ht="25" customHeight="1">
      <c r="A59" s="128"/>
      <c r="B59" s="198" t="s">
        <v>464</v>
      </c>
      <c r="C59" s="154" t="s">
        <v>440</v>
      </c>
      <c r="D59" s="155" t="s">
        <v>441</v>
      </c>
      <c r="E59" s="156" t="s">
        <v>442</v>
      </c>
      <c r="F59" s="131"/>
    </row>
    <row r="60" spans="1:6" ht="25" customHeight="1">
      <c r="A60" s="128"/>
      <c r="B60" s="199"/>
      <c r="C60" s="157" t="s">
        <v>443</v>
      </c>
      <c r="D60" s="158" t="s">
        <v>444</v>
      </c>
      <c r="E60" s="159" t="s">
        <v>445</v>
      </c>
      <c r="F60" s="131"/>
    </row>
    <row r="61" spans="1:6" ht="25" customHeight="1">
      <c r="A61" s="128"/>
      <c r="B61" s="199"/>
      <c r="C61" s="160" t="s">
        <v>446</v>
      </c>
      <c r="D61" s="161" t="s">
        <v>447</v>
      </c>
      <c r="E61" s="162" t="s">
        <v>448</v>
      </c>
      <c r="F61" s="131"/>
    </row>
    <row r="62" spans="1:6" ht="16" customHeight="1">
      <c r="A62" s="128"/>
      <c r="B62" s="199"/>
      <c r="C62" s="163" t="s">
        <v>18</v>
      </c>
      <c r="D62" s="164" t="s">
        <v>35</v>
      </c>
      <c r="E62" s="165" t="s">
        <v>103</v>
      </c>
      <c r="F62" s="131"/>
    </row>
    <row r="63" spans="1:6" ht="16" customHeight="1">
      <c r="A63" s="128"/>
      <c r="B63" s="199"/>
      <c r="C63" s="163" t="s">
        <v>14</v>
      </c>
      <c r="D63" s="164" t="s">
        <v>63</v>
      </c>
      <c r="E63" s="165" t="s">
        <v>134</v>
      </c>
      <c r="F63" s="131"/>
    </row>
    <row r="64" spans="1:6" ht="16" customHeight="1">
      <c r="A64" s="128"/>
      <c r="B64" s="199"/>
      <c r="C64" s="163" t="s">
        <v>41</v>
      </c>
      <c r="D64" s="164" t="s">
        <v>46</v>
      </c>
      <c r="E64" s="165" t="s">
        <v>122</v>
      </c>
      <c r="F64" s="131"/>
    </row>
    <row r="65" spans="1:6" ht="16" customHeight="1">
      <c r="A65" s="128"/>
      <c r="B65" s="199"/>
      <c r="C65" s="163" t="s">
        <v>6</v>
      </c>
      <c r="D65" s="164" t="s">
        <v>78</v>
      </c>
      <c r="E65" s="165" t="s">
        <v>108</v>
      </c>
      <c r="F65" s="131"/>
    </row>
    <row r="66" spans="1:6" ht="16" customHeight="1">
      <c r="A66" s="128"/>
      <c r="B66" s="199"/>
      <c r="C66" s="163" t="s">
        <v>22</v>
      </c>
      <c r="D66" s="164" t="s">
        <v>21</v>
      </c>
      <c r="E66" s="165" t="s">
        <v>69</v>
      </c>
      <c r="F66" s="131"/>
    </row>
    <row r="67" spans="1:6" ht="16" customHeight="1">
      <c r="A67" s="128"/>
      <c r="B67" s="199"/>
      <c r="C67" s="163" t="s">
        <v>23</v>
      </c>
      <c r="D67" s="164" t="s">
        <v>7</v>
      </c>
      <c r="E67" s="165" t="s">
        <v>92</v>
      </c>
      <c r="F67" s="131"/>
    </row>
    <row r="68" spans="1:6" ht="16" customHeight="1">
      <c r="A68" s="128"/>
      <c r="B68" s="199"/>
      <c r="C68" s="163" t="s">
        <v>30</v>
      </c>
      <c r="D68" s="164" t="s">
        <v>79</v>
      </c>
      <c r="E68" s="165" t="s">
        <v>131</v>
      </c>
      <c r="F68" s="131"/>
    </row>
    <row r="69" spans="1:6" ht="16" customHeight="1">
      <c r="A69" s="128"/>
      <c r="B69" s="199"/>
      <c r="C69" s="163" t="s">
        <v>10</v>
      </c>
      <c r="D69" s="164" t="s">
        <v>37</v>
      </c>
      <c r="E69" s="165" t="s">
        <v>142</v>
      </c>
      <c r="F69" s="131"/>
    </row>
    <row r="70" spans="1:6" ht="16" customHeight="1">
      <c r="A70" s="128"/>
      <c r="B70" s="199"/>
      <c r="C70" s="163" t="s">
        <v>28</v>
      </c>
      <c r="D70" s="164" t="s">
        <v>65</v>
      </c>
      <c r="E70" s="165" t="s">
        <v>97</v>
      </c>
      <c r="F70" s="131"/>
    </row>
    <row r="71" spans="1:6" ht="16" customHeight="1">
      <c r="A71" s="128"/>
      <c r="B71" s="199"/>
      <c r="C71" s="163" t="s">
        <v>49</v>
      </c>
      <c r="D71" s="164" t="s">
        <v>70</v>
      </c>
      <c r="E71" s="165" t="s">
        <v>112</v>
      </c>
      <c r="F71" s="131"/>
    </row>
    <row r="72" spans="1:6" ht="16" customHeight="1">
      <c r="A72" s="128"/>
      <c r="B72" s="199"/>
      <c r="C72" s="163" t="s">
        <v>13</v>
      </c>
      <c r="D72" s="164" t="s">
        <v>90</v>
      </c>
      <c r="E72" s="165" t="s">
        <v>154</v>
      </c>
      <c r="F72" s="131"/>
    </row>
    <row r="73" spans="1:6" ht="16" customHeight="1">
      <c r="A73" s="128"/>
      <c r="B73" s="199"/>
      <c r="C73" s="163"/>
      <c r="D73" s="164" t="s">
        <v>123</v>
      </c>
      <c r="E73" s="165" t="s">
        <v>116</v>
      </c>
      <c r="F73" s="131"/>
    </row>
    <row r="74" spans="1:6" ht="16" customHeight="1">
      <c r="A74" s="128"/>
      <c r="B74" s="199"/>
      <c r="C74" s="163"/>
      <c r="D74" s="164" t="s">
        <v>36</v>
      </c>
      <c r="E74" s="165" t="s">
        <v>137</v>
      </c>
      <c r="F74" s="131"/>
    </row>
    <row r="75" spans="1:6" ht="16" customHeight="1">
      <c r="A75" s="128"/>
      <c r="B75" s="199"/>
      <c r="C75" s="163"/>
      <c r="D75" s="164" t="s">
        <v>33</v>
      </c>
      <c r="E75" s="165" t="s">
        <v>151</v>
      </c>
      <c r="F75" s="131"/>
    </row>
    <row r="76" spans="1:6" ht="16" customHeight="1">
      <c r="A76" s="128"/>
      <c r="B76" s="199"/>
      <c r="C76" s="163"/>
      <c r="D76" s="164" t="s">
        <v>20</v>
      </c>
      <c r="E76" s="165" t="s">
        <v>111</v>
      </c>
      <c r="F76" s="131"/>
    </row>
    <row r="77" spans="1:6" ht="16" customHeight="1">
      <c r="A77" s="128"/>
      <c r="B77" s="199"/>
      <c r="C77" s="163"/>
      <c r="D77" s="164" t="s">
        <v>87</v>
      </c>
      <c r="E77" s="165" t="s">
        <v>144</v>
      </c>
      <c r="F77" s="131"/>
    </row>
    <row r="78" spans="1:6" ht="16" customHeight="1">
      <c r="A78" s="128"/>
      <c r="B78" s="199"/>
      <c r="C78" s="163"/>
      <c r="D78" s="164" t="s">
        <v>61</v>
      </c>
      <c r="E78" s="165"/>
      <c r="F78" s="131"/>
    </row>
    <row r="79" spans="1:6" ht="16" customHeight="1">
      <c r="A79" s="128"/>
      <c r="B79" s="199"/>
      <c r="C79" s="163"/>
      <c r="D79" s="164" t="s">
        <v>72</v>
      </c>
      <c r="E79" s="165"/>
      <c r="F79" s="131"/>
    </row>
    <row r="80" spans="1:6" ht="16" customHeight="1">
      <c r="A80" s="128"/>
      <c r="B80" s="199"/>
      <c r="C80" s="163"/>
      <c r="D80" s="164" t="s">
        <v>107</v>
      </c>
      <c r="E80" s="165"/>
      <c r="F80" s="131"/>
    </row>
    <row r="81" spans="1:6" ht="16" customHeight="1">
      <c r="A81" s="128"/>
      <c r="B81" s="199"/>
      <c r="C81" s="163"/>
      <c r="D81" s="164" t="s">
        <v>24</v>
      </c>
      <c r="E81" s="165"/>
      <c r="F81" s="131"/>
    </row>
    <row r="82" spans="1:6" ht="16" customHeight="1">
      <c r="A82" s="128"/>
      <c r="B82" s="199"/>
      <c r="C82" s="163"/>
      <c r="D82" s="164" t="s">
        <v>39</v>
      </c>
      <c r="E82" s="165"/>
      <c r="F82" s="131"/>
    </row>
    <row r="83" spans="1:6" ht="16" customHeight="1">
      <c r="A83" s="128"/>
      <c r="B83" s="200"/>
      <c r="C83" s="166"/>
      <c r="D83" s="167" t="s">
        <v>50</v>
      </c>
      <c r="E83" s="168"/>
      <c r="F83" s="131"/>
    </row>
    <row r="84" spans="1:6" ht="16" customHeight="1">
      <c r="A84" s="128"/>
      <c r="B84" s="169"/>
      <c r="C84" s="169"/>
      <c r="D84" s="169"/>
      <c r="E84" s="169"/>
      <c r="F84" s="131"/>
    </row>
    <row r="85" spans="1:6" ht="25" customHeight="1">
      <c r="A85" s="128"/>
      <c r="B85" s="184" t="s">
        <v>465</v>
      </c>
      <c r="C85" s="157" t="s">
        <v>433</v>
      </c>
      <c r="D85" s="158" t="s">
        <v>449</v>
      </c>
      <c r="E85" s="159" t="s">
        <v>450</v>
      </c>
      <c r="F85" s="131"/>
    </row>
    <row r="86" spans="1:6" ht="25" customHeight="1">
      <c r="A86" s="128"/>
      <c r="B86" s="185"/>
      <c r="C86" s="157" t="s">
        <v>436</v>
      </c>
      <c r="D86" s="158" t="s">
        <v>451</v>
      </c>
      <c r="E86" s="159" t="s">
        <v>452</v>
      </c>
      <c r="F86" s="131"/>
    </row>
    <row r="87" spans="1:6" ht="25" customHeight="1">
      <c r="A87" s="128"/>
      <c r="B87" s="185"/>
      <c r="C87" s="157" t="s">
        <v>439</v>
      </c>
      <c r="D87" s="161" t="s">
        <v>453</v>
      </c>
      <c r="E87" s="162" t="s">
        <v>454</v>
      </c>
      <c r="F87" s="131"/>
    </row>
    <row r="88" spans="1:6" ht="16" customHeight="1">
      <c r="A88" s="128"/>
      <c r="B88" s="185"/>
      <c r="C88" s="163" t="s">
        <v>455</v>
      </c>
      <c r="D88" s="164" t="s">
        <v>26</v>
      </c>
      <c r="E88" s="165" t="s">
        <v>45</v>
      </c>
      <c r="F88" s="131"/>
    </row>
    <row r="89" spans="1:6" ht="16" customHeight="1">
      <c r="A89" s="128"/>
      <c r="B89" s="185"/>
      <c r="C89" s="163"/>
      <c r="D89" s="164" t="s">
        <v>5</v>
      </c>
      <c r="E89" s="165" t="s">
        <v>119</v>
      </c>
      <c r="F89" s="131"/>
    </row>
    <row r="90" spans="1:6" ht="16" customHeight="1">
      <c r="A90" s="128"/>
      <c r="B90" s="185"/>
      <c r="C90" s="163"/>
      <c r="D90" s="164" t="s">
        <v>4</v>
      </c>
      <c r="E90" s="165" t="s">
        <v>88</v>
      </c>
      <c r="F90" s="131"/>
    </row>
    <row r="91" spans="1:6" ht="16" customHeight="1">
      <c r="A91" s="128"/>
      <c r="B91" s="185"/>
      <c r="C91" s="163"/>
      <c r="D91" s="164" t="s">
        <v>17</v>
      </c>
      <c r="E91" s="165" t="s">
        <v>149</v>
      </c>
      <c r="F91" s="131"/>
    </row>
    <row r="92" spans="1:6" ht="16" customHeight="1">
      <c r="A92" s="128"/>
      <c r="B92" s="185"/>
      <c r="C92" s="163"/>
      <c r="D92" s="164" t="s">
        <v>8</v>
      </c>
      <c r="E92" s="165" t="s">
        <v>120</v>
      </c>
      <c r="F92" s="131"/>
    </row>
    <row r="93" spans="1:6" ht="16" customHeight="1">
      <c r="A93" s="128"/>
      <c r="B93" s="185"/>
      <c r="C93" s="163"/>
      <c r="D93" s="164" t="s">
        <v>9</v>
      </c>
      <c r="E93" s="165" t="s">
        <v>66</v>
      </c>
      <c r="F93" s="131"/>
    </row>
    <row r="94" spans="1:6" ht="16" customHeight="1">
      <c r="A94" s="128"/>
      <c r="B94" s="185"/>
      <c r="C94" s="163"/>
      <c r="D94" s="164" t="s">
        <v>38</v>
      </c>
      <c r="E94" s="165" t="s">
        <v>130</v>
      </c>
      <c r="F94" s="131"/>
    </row>
    <row r="95" spans="1:6" ht="16" customHeight="1">
      <c r="A95" s="128"/>
      <c r="B95" s="185"/>
      <c r="C95" s="163"/>
      <c r="D95" s="164" t="s">
        <v>27</v>
      </c>
      <c r="E95" s="165" t="s">
        <v>86</v>
      </c>
      <c r="F95" s="131"/>
    </row>
    <row r="96" spans="1:6" ht="16" customHeight="1">
      <c r="A96" s="128"/>
      <c r="B96" s="185"/>
      <c r="C96" s="163"/>
      <c r="D96" s="164" t="s">
        <v>12</v>
      </c>
      <c r="E96" s="165" t="s">
        <v>58</v>
      </c>
      <c r="F96" s="131"/>
    </row>
    <row r="97" spans="1:6" ht="16" customHeight="1">
      <c r="A97" s="128"/>
      <c r="B97" s="185"/>
      <c r="C97" s="163"/>
      <c r="D97" s="164" t="s">
        <v>19</v>
      </c>
      <c r="E97" s="165" t="s">
        <v>83</v>
      </c>
      <c r="F97" s="131"/>
    </row>
    <row r="98" spans="1:6" ht="16" customHeight="1">
      <c r="A98" s="128"/>
      <c r="B98" s="185"/>
      <c r="C98" s="163"/>
      <c r="D98" s="164" t="s">
        <v>31</v>
      </c>
      <c r="E98" s="165" t="s">
        <v>101</v>
      </c>
      <c r="F98" s="131"/>
    </row>
    <row r="99" spans="1:6" ht="16" customHeight="1">
      <c r="A99" s="128"/>
      <c r="B99" s="185"/>
      <c r="C99" s="163"/>
      <c r="D99" s="164" t="s">
        <v>32</v>
      </c>
      <c r="E99" s="165" t="s">
        <v>141</v>
      </c>
      <c r="F99" s="131"/>
    </row>
    <row r="100" spans="1:6" ht="16" customHeight="1">
      <c r="A100" s="128"/>
      <c r="B100" s="185"/>
      <c r="C100" s="163"/>
      <c r="D100" s="164" t="s">
        <v>16</v>
      </c>
      <c r="E100" s="165" t="s">
        <v>57</v>
      </c>
      <c r="F100" s="131"/>
    </row>
    <row r="101" spans="1:6" ht="16" customHeight="1">
      <c r="A101" s="128"/>
      <c r="B101" s="185"/>
      <c r="C101" s="163"/>
      <c r="D101" s="164" t="s">
        <v>11</v>
      </c>
      <c r="E101" s="165" t="s">
        <v>44</v>
      </c>
      <c r="F101" s="131"/>
    </row>
    <row r="102" spans="1:6" ht="16" customHeight="1">
      <c r="A102" s="128"/>
      <c r="B102" s="185"/>
      <c r="C102" s="163"/>
      <c r="D102" s="164"/>
      <c r="E102" s="165" t="s">
        <v>40</v>
      </c>
      <c r="F102" s="131"/>
    </row>
    <row r="103" spans="1:6" ht="16" customHeight="1">
      <c r="A103" s="128"/>
      <c r="B103" s="185"/>
      <c r="C103" s="163"/>
      <c r="D103" s="164"/>
      <c r="E103" s="165" t="s">
        <v>64</v>
      </c>
      <c r="F103" s="131"/>
    </row>
    <row r="104" spans="1:6" ht="16" customHeight="1">
      <c r="A104" s="128"/>
      <c r="B104" s="185"/>
      <c r="C104" s="163"/>
      <c r="D104" s="164"/>
      <c r="E104" s="165" t="s">
        <v>147</v>
      </c>
      <c r="F104" s="131"/>
    </row>
    <row r="105" spans="1:6" ht="16" customHeight="1">
      <c r="A105" s="128"/>
      <c r="B105" s="185"/>
      <c r="C105" s="163"/>
      <c r="D105" s="164"/>
      <c r="E105" s="165" t="s">
        <v>85</v>
      </c>
      <c r="F105" s="131"/>
    </row>
    <row r="106" spans="1:6" ht="16" customHeight="1">
      <c r="A106" s="128"/>
      <c r="B106" s="185"/>
      <c r="C106" s="163"/>
      <c r="D106" s="164"/>
      <c r="E106" s="165" t="s">
        <v>81</v>
      </c>
      <c r="F106" s="131"/>
    </row>
    <row r="107" spans="1:6" ht="16" customHeight="1">
      <c r="A107" s="128"/>
      <c r="B107" s="185"/>
      <c r="C107" s="163"/>
      <c r="D107" s="164"/>
      <c r="E107" s="165" t="s">
        <v>54</v>
      </c>
      <c r="F107" s="131"/>
    </row>
    <row r="108" spans="1:6" ht="16" customHeight="1">
      <c r="A108" s="128"/>
      <c r="B108" s="185"/>
      <c r="C108" s="163"/>
      <c r="D108" s="164"/>
      <c r="E108" s="165" t="s">
        <v>74</v>
      </c>
      <c r="F108" s="131"/>
    </row>
    <row r="109" spans="1:6" ht="16" customHeight="1">
      <c r="A109" s="128"/>
      <c r="B109" s="185"/>
      <c r="C109" s="163"/>
      <c r="D109" s="164"/>
      <c r="E109" s="165" t="s">
        <v>52</v>
      </c>
      <c r="F109" s="131"/>
    </row>
    <row r="110" spans="1:6" ht="16" customHeight="1">
      <c r="A110" s="128"/>
      <c r="B110" s="185"/>
      <c r="C110" s="163"/>
      <c r="D110" s="164"/>
      <c r="E110" s="165" t="s">
        <v>75</v>
      </c>
      <c r="F110" s="131"/>
    </row>
    <row r="111" spans="1:6" ht="16" customHeight="1">
      <c r="A111" s="128"/>
      <c r="B111" s="185"/>
      <c r="C111" s="163"/>
      <c r="D111" s="164"/>
      <c r="E111" s="165" t="s">
        <v>148</v>
      </c>
      <c r="F111" s="131"/>
    </row>
    <row r="112" spans="1:6" ht="16" customHeight="1">
      <c r="A112" s="128"/>
      <c r="B112" s="185"/>
      <c r="C112" s="163"/>
      <c r="D112" s="164"/>
      <c r="E112" s="165" t="s">
        <v>135</v>
      </c>
      <c r="F112" s="131"/>
    </row>
    <row r="113" spans="1:6" ht="16" customHeight="1">
      <c r="A113" s="128"/>
      <c r="B113" s="185"/>
      <c r="C113" s="163"/>
      <c r="D113" s="164"/>
      <c r="E113" s="165" t="s">
        <v>152</v>
      </c>
      <c r="F113" s="131"/>
    </row>
    <row r="114" spans="1:6" ht="16" customHeight="1">
      <c r="A114" s="128"/>
      <c r="B114" s="185"/>
      <c r="C114" s="163"/>
      <c r="D114" s="164"/>
      <c r="E114" s="165" t="s">
        <v>113</v>
      </c>
      <c r="F114" s="131"/>
    </row>
    <row r="115" spans="1:6" ht="16" customHeight="1">
      <c r="A115" s="128"/>
      <c r="B115" s="185"/>
      <c r="C115" s="163"/>
      <c r="D115" s="164"/>
      <c r="E115" s="165" t="s">
        <v>34</v>
      </c>
      <c r="F115" s="131"/>
    </row>
    <row r="116" spans="1:6" ht="16" customHeight="1">
      <c r="A116" s="128"/>
      <c r="B116" s="185"/>
      <c r="C116" s="163"/>
      <c r="D116" s="164"/>
      <c r="E116" s="165" t="s">
        <v>25</v>
      </c>
      <c r="F116" s="131"/>
    </row>
    <row r="117" spans="1:6" ht="16" customHeight="1">
      <c r="A117" s="128"/>
      <c r="B117" s="185"/>
      <c r="C117" s="163"/>
      <c r="D117" s="164"/>
      <c r="E117" s="165" t="s">
        <v>59</v>
      </c>
      <c r="F117" s="131"/>
    </row>
    <row r="118" spans="1:6" ht="16" customHeight="1">
      <c r="A118" s="128"/>
      <c r="B118" s="185"/>
      <c r="C118" s="163"/>
      <c r="D118" s="164"/>
      <c r="E118" s="165" t="s">
        <v>94</v>
      </c>
      <c r="F118" s="131"/>
    </row>
    <row r="119" spans="1:6" ht="16" customHeight="1">
      <c r="A119" s="128"/>
      <c r="B119" s="185"/>
      <c r="C119" s="163"/>
      <c r="D119" s="164"/>
      <c r="E119" s="165" t="s">
        <v>84</v>
      </c>
      <c r="F119" s="131"/>
    </row>
    <row r="120" spans="1:6" ht="16" customHeight="1">
      <c r="A120" s="128"/>
      <c r="B120" s="185"/>
      <c r="C120" s="163"/>
      <c r="D120" s="164"/>
      <c r="E120" s="165" t="s">
        <v>155</v>
      </c>
      <c r="F120" s="131"/>
    </row>
    <row r="121" spans="1:6" ht="16" customHeight="1">
      <c r="A121" s="128"/>
      <c r="B121" s="185"/>
      <c r="C121" s="163"/>
      <c r="D121" s="164"/>
      <c r="E121" s="165" t="s">
        <v>77</v>
      </c>
      <c r="F121" s="131"/>
    </row>
    <row r="122" spans="1:6" ht="16" customHeight="1">
      <c r="A122" s="128"/>
      <c r="B122" s="185"/>
      <c r="C122" s="163"/>
      <c r="D122" s="164"/>
      <c r="E122" s="165" t="s">
        <v>121</v>
      </c>
      <c r="F122" s="131"/>
    </row>
    <row r="123" spans="1:6" ht="16" customHeight="1">
      <c r="A123" s="128"/>
      <c r="B123" s="185"/>
      <c r="C123" s="163"/>
      <c r="D123" s="164"/>
      <c r="E123" s="165" t="s">
        <v>95</v>
      </c>
      <c r="F123" s="131"/>
    </row>
    <row r="124" spans="1:6" ht="16" customHeight="1">
      <c r="A124" s="128"/>
      <c r="B124" s="185"/>
      <c r="C124" s="163"/>
      <c r="D124" s="164"/>
      <c r="E124" s="165" t="s">
        <v>76</v>
      </c>
      <c r="F124" s="131"/>
    </row>
    <row r="125" spans="1:6" ht="16" customHeight="1">
      <c r="A125" s="128"/>
      <c r="B125" s="185"/>
      <c r="C125" s="163"/>
      <c r="D125" s="164"/>
      <c r="E125" s="165" t="s">
        <v>67</v>
      </c>
      <c r="F125" s="131"/>
    </row>
    <row r="126" spans="1:6" ht="16" customHeight="1">
      <c r="A126" s="128"/>
      <c r="B126" s="185"/>
      <c r="C126" s="163"/>
      <c r="D126" s="164"/>
      <c r="E126" s="165" t="s">
        <v>127</v>
      </c>
      <c r="F126" s="131"/>
    </row>
    <row r="127" spans="1:6" ht="16" customHeight="1">
      <c r="A127" s="128"/>
      <c r="B127" s="185"/>
      <c r="C127" s="163"/>
      <c r="D127" s="164"/>
      <c r="E127" s="165" t="s">
        <v>42</v>
      </c>
      <c r="F127" s="131"/>
    </row>
    <row r="128" spans="1:6" ht="16" customHeight="1">
      <c r="A128" s="128"/>
      <c r="B128" s="185"/>
      <c r="C128" s="163"/>
      <c r="D128" s="164"/>
      <c r="E128" s="165" t="s">
        <v>62</v>
      </c>
      <c r="F128" s="131"/>
    </row>
    <row r="129" spans="1:6" ht="16" customHeight="1">
      <c r="A129" s="128"/>
      <c r="B129" s="185"/>
      <c r="C129" s="163"/>
      <c r="D129" s="164"/>
      <c r="E129" s="165" t="s">
        <v>15</v>
      </c>
      <c r="F129" s="131"/>
    </row>
    <row r="130" spans="1:6" ht="16" customHeight="1">
      <c r="A130" s="128"/>
      <c r="B130" s="185"/>
      <c r="C130" s="163"/>
      <c r="D130" s="164"/>
      <c r="E130" s="165" t="s">
        <v>114</v>
      </c>
      <c r="F130" s="131"/>
    </row>
    <row r="131" spans="1:6" ht="16" customHeight="1">
      <c r="A131" s="128"/>
      <c r="B131" s="185"/>
      <c r="C131" s="163"/>
      <c r="D131" s="164"/>
      <c r="E131" s="165" t="s">
        <v>145</v>
      </c>
      <c r="F131" s="131"/>
    </row>
    <row r="132" spans="1:6" ht="16" customHeight="1">
      <c r="A132" s="128"/>
      <c r="B132" s="185"/>
      <c r="C132" s="163"/>
      <c r="D132" s="164"/>
      <c r="E132" s="165" t="s">
        <v>29</v>
      </c>
      <c r="F132" s="131"/>
    </row>
    <row r="133" spans="1:6" ht="16" customHeight="1">
      <c r="A133" s="128"/>
      <c r="B133" s="186"/>
      <c r="C133" s="166"/>
      <c r="D133" s="167"/>
      <c r="E133" s="168" t="s">
        <v>136</v>
      </c>
      <c r="F133" s="131"/>
    </row>
    <row r="134" spans="1:6">
      <c r="B134" s="138"/>
      <c r="C134" s="138"/>
      <c r="D134" s="138"/>
      <c r="E134" s="138"/>
    </row>
    <row r="139" spans="1:6" ht="16" thickBot="1">
      <c r="B139" s="126"/>
      <c r="C139" s="126"/>
      <c r="D139" s="126"/>
      <c r="E139" s="126"/>
    </row>
    <row r="140" spans="1:6" ht="125.5" thickBot="1">
      <c r="A140" s="128"/>
      <c r="B140" s="139" t="s">
        <v>427</v>
      </c>
      <c r="C140" s="140" t="s">
        <v>428</v>
      </c>
      <c r="D140" s="141" t="s">
        <v>429</v>
      </c>
      <c r="E140" s="142" t="s">
        <v>430</v>
      </c>
      <c r="F140" s="131"/>
    </row>
    <row r="141" spans="1:6" ht="47.15" customHeight="1">
      <c r="A141" s="128"/>
      <c r="B141" s="187" t="s">
        <v>463</v>
      </c>
      <c r="C141" s="143" t="s">
        <v>431</v>
      </c>
      <c r="D141" s="143" t="s">
        <v>432</v>
      </c>
      <c r="E141" s="144" t="s">
        <v>433</v>
      </c>
      <c r="F141" s="131"/>
    </row>
    <row r="142" spans="1:6" ht="47.15" customHeight="1">
      <c r="A142" s="128"/>
      <c r="B142" s="188"/>
      <c r="C142" s="145" t="s">
        <v>434</v>
      </c>
      <c r="D142" s="145" t="s">
        <v>435</v>
      </c>
      <c r="E142" s="146" t="s">
        <v>436</v>
      </c>
      <c r="F142" s="131"/>
    </row>
    <row r="143" spans="1:6" ht="47.15" customHeight="1" thickBot="1">
      <c r="A143" s="128"/>
      <c r="B143" s="189"/>
      <c r="C143" s="147" t="s">
        <v>437</v>
      </c>
      <c r="D143" s="147" t="s">
        <v>438</v>
      </c>
      <c r="E143" s="147" t="s">
        <v>439</v>
      </c>
      <c r="F143" s="131"/>
    </row>
    <row r="144" spans="1:6" ht="47.15" customHeight="1">
      <c r="A144" s="128"/>
      <c r="B144" s="190" t="s">
        <v>464</v>
      </c>
      <c r="C144" s="143" t="s">
        <v>440</v>
      </c>
      <c r="D144" s="143" t="s">
        <v>441</v>
      </c>
      <c r="E144" s="144" t="s">
        <v>442</v>
      </c>
      <c r="F144" s="131"/>
    </row>
    <row r="145" spans="1:6" ht="47.15" customHeight="1">
      <c r="A145" s="128"/>
      <c r="B145" s="191"/>
      <c r="C145" s="145" t="s">
        <v>443</v>
      </c>
      <c r="D145" s="145" t="s">
        <v>444</v>
      </c>
      <c r="E145" s="146" t="s">
        <v>445</v>
      </c>
      <c r="F145" s="131"/>
    </row>
    <row r="146" spans="1:6" ht="47.15" customHeight="1" thickBot="1">
      <c r="A146" s="128"/>
      <c r="B146" s="191"/>
      <c r="C146" s="147" t="s">
        <v>446</v>
      </c>
      <c r="D146" s="147" t="s">
        <v>447</v>
      </c>
      <c r="E146" s="147" t="s">
        <v>448</v>
      </c>
      <c r="F146" s="131"/>
    </row>
    <row r="147" spans="1:6" ht="47.15" customHeight="1">
      <c r="A147" s="128"/>
      <c r="B147" s="192" t="s">
        <v>465</v>
      </c>
      <c r="C147" s="143" t="s">
        <v>433</v>
      </c>
      <c r="D147" s="143" t="s">
        <v>449</v>
      </c>
      <c r="E147" s="144" t="s">
        <v>450</v>
      </c>
      <c r="F147" s="131"/>
    </row>
    <row r="148" spans="1:6" ht="47.15" customHeight="1">
      <c r="A148" s="128"/>
      <c r="B148" s="193"/>
      <c r="C148" s="145" t="s">
        <v>436</v>
      </c>
      <c r="D148" s="145" t="s">
        <v>451</v>
      </c>
      <c r="E148" s="146" t="s">
        <v>452</v>
      </c>
      <c r="F148" s="131"/>
    </row>
    <row r="149" spans="1:6" ht="47.15" customHeight="1" thickBot="1">
      <c r="A149" s="128"/>
      <c r="B149" s="194"/>
      <c r="C149" s="148" t="s">
        <v>439</v>
      </c>
      <c r="D149" s="147" t="s">
        <v>453</v>
      </c>
      <c r="E149" s="147" t="s">
        <v>454</v>
      </c>
      <c r="F149" s="131"/>
    </row>
    <row r="150" spans="1:6">
      <c r="B150" s="138"/>
      <c r="C150" s="138"/>
      <c r="D150" s="138"/>
      <c r="E150" s="138"/>
    </row>
    <row r="151" spans="1:6">
      <c r="C151" s="126"/>
      <c r="D151" s="126"/>
      <c r="E151" s="126"/>
    </row>
  </sheetData>
  <mergeCells count="9">
    <mergeCell ref="B85:B133"/>
    <mergeCell ref="B141:B143"/>
    <mergeCell ref="B144:B146"/>
    <mergeCell ref="B147:B149"/>
    <mergeCell ref="B11:B13"/>
    <mergeCell ref="B14:B16"/>
    <mergeCell ref="B17:B19"/>
    <mergeCell ref="B24:B57"/>
    <mergeCell ref="B59: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C6"/>
  <sheetViews>
    <sheetView tabSelected="1" workbookViewId="0">
      <selection activeCell="H7" sqref="H7"/>
    </sheetView>
  </sheetViews>
  <sheetFormatPr defaultColWidth="8.81640625" defaultRowHeight="14"/>
  <cols>
    <col min="1" max="1" width="33.81640625" style="45" bestFit="1" customWidth="1"/>
    <col min="2" max="2" width="36.81640625" style="45" customWidth="1"/>
    <col min="3" max="3" width="103.26953125" style="45" customWidth="1"/>
    <col min="4" max="16384" width="8.81640625" style="45"/>
  </cols>
  <sheetData>
    <row r="1" spans="1:3" s="43" customFormat="1" ht="19">
      <c r="A1" s="44" t="s">
        <v>343</v>
      </c>
      <c r="B1" s="44" t="s">
        <v>349</v>
      </c>
      <c r="C1" s="44" t="s">
        <v>350</v>
      </c>
    </row>
    <row r="2" spans="1:3" ht="126">
      <c r="A2" s="46" t="s">
        <v>348</v>
      </c>
      <c r="B2" s="47" t="s">
        <v>0</v>
      </c>
      <c r="C2" s="48" t="s">
        <v>353</v>
      </c>
    </row>
    <row r="3" spans="1:3" ht="28">
      <c r="A3" s="46" t="s">
        <v>342</v>
      </c>
      <c r="B3" s="47" t="s">
        <v>351</v>
      </c>
      <c r="C3" s="47" t="s">
        <v>352</v>
      </c>
    </row>
    <row r="4" spans="1:3" ht="98">
      <c r="A4" s="46" t="s">
        <v>170</v>
      </c>
      <c r="B4" s="47" t="s">
        <v>1</v>
      </c>
      <c r="C4" s="47" t="s">
        <v>354</v>
      </c>
    </row>
    <row r="5" spans="1:3" ht="28">
      <c r="A5" s="46" t="s">
        <v>158</v>
      </c>
      <c r="B5" s="47" t="s">
        <v>345</v>
      </c>
      <c r="C5" s="47"/>
    </row>
    <row r="6" spans="1:3">
      <c r="A6" s="46" t="s">
        <v>347</v>
      </c>
      <c r="B6" s="47" t="s">
        <v>346</v>
      </c>
      <c r="C6"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defaultColWidth="8.81640625" defaultRowHeight="14.5"/>
  <cols>
    <col min="1" max="1" width="43.179687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Prattasha Nawar Islam</cp:lastModifiedBy>
  <dcterms:created xsi:type="dcterms:W3CDTF">2021-05-27T08:31:35Z</dcterms:created>
  <dcterms:modified xsi:type="dcterms:W3CDTF">2022-09-20T04:32:00Z</dcterms:modified>
</cp:coreProperties>
</file>