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10/"/>
    </mc:Choice>
  </mc:AlternateContent>
  <xr:revisionPtr revIDLastSave="25" documentId="8_{C4C9BEE8-C49E-4C98-8A6B-9C28329852C1}" xr6:coauthVersionLast="47" xr6:coauthVersionMax="47" xr10:uidLastSave="{90AFAC88-53B3-4C27-BF1B-991838650A12}"/>
  <bookViews>
    <workbookView xWindow="-108" yWindow="-108" windowWidth="23256" windowHeight="12456" xr2:uid="{7BB9A55B-07F2-490A-BFCE-A7BF7A1BBB31}"/>
  </bookViews>
  <sheets>
    <sheet name="Data" sheetId="1" r:id="rId1"/>
    <sheet name="Expected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1" l="1"/>
  <c r="F8" i="2" a="1"/>
  <c r="F8" i="2" s="1"/>
  <c r="F17" i="1"/>
  <c r="F5" i="2" s="1" a="1"/>
  <c r="F5" i="2" s="1"/>
  <c r="E17" i="1"/>
  <c r="E16" i="2" s="1" a="1"/>
  <c r="E16" i="2" s="1"/>
  <c r="D17" i="1"/>
  <c r="D12" i="2" s="1" a="1"/>
  <c r="D12" i="2" s="1"/>
  <c r="M15" i="1" l="1"/>
  <c r="L15" i="1"/>
  <c r="M14" i="1"/>
  <c r="L14" i="1"/>
  <c r="M13" i="1"/>
  <c r="M12" i="1"/>
  <c r="M10" i="1"/>
  <c r="L10" i="1"/>
  <c r="M9" i="1"/>
  <c r="M8" i="1"/>
  <c r="L8" i="1"/>
  <c r="M7" i="1"/>
  <c r="K8" i="1"/>
  <c r="K12" i="1"/>
  <c r="M16" i="1"/>
  <c r="M11" i="1"/>
  <c r="L11" i="1"/>
  <c r="L6" i="1"/>
  <c r="K15" i="1"/>
  <c r="L12" i="1"/>
  <c r="L7" i="1"/>
  <c r="K7" i="1"/>
  <c r="M6" i="1"/>
  <c r="L16" i="1"/>
  <c r="K16" i="1"/>
  <c r="K11" i="1"/>
  <c r="M5" i="1"/>
  <c r="K6" i="1"/>
  <c r="L13" i="1"/>
  <c r="L9" i="1"/>
  <c r="L5" i="1"/>
  <c r="K14" i="1"/>
  <c r="K10" i="1"/>
  <c r="K13" i="1"/>
  <c r="K9" i="1"/>
  <c r="K5" i="1"/>
  <c r="D15" i="2" a="1"/>
  <c r="D15" i="2" s="1"/>
  <c r="E7" i="2" a="1"/>
  <c r="E7" i="2" s="1"/>
  <c r="E15" i="2" a="1"/>
  <c r="E15" i="2" s="1"/>
  <c r="D14" i="2" a="1"/>
  <c r="D14" i="2" s="1"/>
  <c r="E6" i="2" a="1"/>
  <c r="E6" i="2" s="1"/>
  <c r="E14" i="2" a="1"/>
  <c r="E14" i="2" s="1"/>
  <c r="D13" i="2" a="1"/>
  <c r="D13" i="2" s="1"/>
  <c r="F6" i="2" a="1"/>
  <c r="F6" i="2" s="1"/>
  <c r="F10" i="2" a="1"/>
  <c r="F10" i="2" s="1"/>
  <c r="F14" i="2" a="1"/>
  <c r="F14" i="2" s="1"/>
  <c r="D7" i="2" a="1"/>
  <c r="D7" i="2" s="1"/>
  <c r="D11" i="2" a="1"/>
  <c r="D11" i="2" s="1"/>
  <c r="F12" i="2" a="1"/>
  <c r="F12" i="2" s="1"/>
  <c r="D6" i="2" a="1"/>
  <c r="D6" i="2" s="1"/>
  <c r="F7" i="2" a="1"/>
  <c r="F7" i="2" s="1"/>
  <c r="F15" i="2" a="1"/>
  <c r="F15" i="2" s="1"/>
  <c r="E10" i="2" a="1"/>
  <c r="E10" i="2" s="1"/>
  <c r="D5" i="2" a="1"/>
  <c r="D5" i="2" s="1"/>
  <c r="D17" i="2" a="1"/>
  <c r="D17" i="2" s="1"/>
  <c r="E5" i="2" a="1"/>
  <c r="E5" i="2" s="1"/>
  <c r="E17" i="2" a="1"/>
  <c r="E17" i="2" s="1"/>
  <c r="D8" i="2" a="1"/>
  <c r="D8" i="2" s="1"/>
  <c r="D16" i="2" a="1"/>
  <c r="D16" i="2" s="1"/>
  <c r="F9" i="2" a="1"/>
  <c r="F9" i="2" s="1"/>
  <c r="F13" i="2" a="1"/>
  <c r="F13" i="2" s="1"/>
  <c r="F17" i="2" a="1"/>
  <c r="F17" i="2" s="1"/>
  <c r="F16" i="2" a="1"/>
  <c r="F16" i="2" s="1"/>
  <c r="E11" i="2" a="1"/>
  <c r="E11" i="2" s="1"/>
  <c r="D10" i="2" a="1"/>
  <c r="D10" i="2" s="1"/>
  <c r="F11" i="2" a="1"/>
  <c r="F11" i="2" s="1"/>
  <c r="D9" i="2" a="1"/>
  <c r="D9" i="2" s="1"/>
  <c r="E9" i="2" a="1"/>
  <c r="E9" i="2" s="1"/>
  <c r="E13" i="2" a="1"/>
  <c r="E13" i="2" s="1"/>
  <c r="E8" i="2" a="1"/>
  <c r="E8" i="2" s="1"/>
  <c r="E12" i="2" a="1"/>
  <c r="E12" i="2" s="1"/>
  <c r="C17" i="1"/>
  <c r="G17" i="1"/>
  <c r="M17" i="1" l="1"/>
  <c r="L17" i="1"/>
  <c r="K17" i="1"/>
  <c r="J6" i="1"/>
  <c r="J9" i="1"/>
  <c r="J10" i="1"/>
  <c r="J11" i="1"/>
  <c r="J13" i="1"/>
  <c r="J14" i="1"/>
  <c r="J15" i="1"/>
  <c r="J16" i="1"/>
  <c r="J7" i="1"/>
  <c r="J8" i="1"/>
  <c r="J12" i="1"/>
  <c r="J5" i="1"/>
  <c r="C8" i="2" a="1"/>
  <c r="C8" i="2" s="1"/>
  <c r="G8" i="2" s="1"/>
  <c r="C17" i="2" a="1"/>
  <c r="C17" i="2" s="1"/>
  <c r="G17" i="2" s="1"/>
  <c r="C15" i="2" a="1"/>
  <c r="C15" i="2" s="1"/>
  <c r="G15" i="2" s="1"/>
  <c r="C11" i="2" a="1"/>
  <c r="C11" i="2" s="1"/>
  <c r="G11" i="2" s="1"/>
  <c r="C7" i="2" a="1"/>
  <c r="C7" i="2" s="1"/>
  <c r="G7" i="2" s="1"/>
  <c r="C9" i="2" a="1"/>
  <c r="C9" i="2" s="1"/>
  <c r="G9" i="2" s="1"/>
  <c r="C16" i="2" a="1"/>
  <c r="C16" i="2" s="1"/>
  <c r="G16" i="2" s="1"/>
  <c r="C12" i="2" a="1"/>
  <c r="C12" i="2" s="1"/>
  <c r="G12" i="2" s="1"/>
  <c r="C13" i="2" a="1"/>
  <c r="C13" i="2" s="1"/>
  <c r="G13" i="2" s="1"/>
  <c r="C10" i="2" a="1"/>
  <c r="C10" i="2" s="1"/>
  <c r="G10" i="2" s="1"/>
  <c r="C5" i="2" a="1"/>
  <c r="C5" i="2" s="1"/>
  <c r="G5" i="2" s="1"/>
  <c r="C14" i="2" a="1"/>
  <c r="C14" i="2" s="1"/>
  <c r="G14" i="2" s="1"/>
  <c r="C6" i="2" a="1"/>
  <c r="C6" i="2" s="1"/>
  <c r="G6" i="2" s="1"/>
  <c r="J1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<sst xmlns="http://schemas.openxmlformats.org/spreadsheetml/2006/main" count="67" uniqueCount="24">
  <si>
    <t>Month</t>
  </si>
  <si>
    <t>Accessories</t>
  </si>
  <si>
    <t>Bikes</t>
  </si>
  <si>
    <t>Clothing</t>
  </si>
  <si>
    <t>Components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</si>
  <si>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</si>
  <si>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</si>
  <si>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</si>
  <si>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</si>
  <si>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</si>
  <si>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</si>
  <si>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</si>
  <si>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</si>
  <si>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</si>
  <si>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</si>
  <si>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</si>
  <si>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</si>
  <si>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</si>
  <si>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Category</t>
  </si>
  <si>
    <t xml:space="preserve">Revenue </t>
  </si>
  <si>
    <t>Actual Sales Report 2022</t>
  </si>
  <si>
    <t>Budget 2023</t>
  </si>
  <si>
    <t>Budget 2023 Allocated</t>
  </si>
  <si>
    <t>Seasonality Index (Allocation Driver)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</si>
</sst>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8"/>
      <color theme="0"/>
      <name val="Arial Narrow"/>
      <family val="2"/>
    </font>
    <font>
      <b/>
      <sz val="18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4" fontId="0" fillId="0" borderId="0" xfId="0" applyNumberFormat="1"/>
    <xf numFmtId="0" fontId="2" fillId="0" borderId="1" xfId="0" applyFont="1" applyBorder="1"/>
    <xf numFmtId="0" fontId="4" fillId="2" borderId="0" xfId="0" applyFont="1" applyFill="1" applyAlignment="1">
      <alignment horizontal="centerContinuous" vertical="center"/>
    </xf>
    <xf numFmtId="0" fontId="0" fillId="0" borderId="0" xfId="0" applyAlignment="1">
      <alignment vertical="center"/>
    </xf>
    <xf numFmtId="4" fontId="2" fillId="0" borderId="1" xfId="0" applyNumberFormat="1" applyFont="1" applyBorder="1"/>
    <xf numFmtId="0" fontId="4" fillId="3" borderId="0" xfId="0" applyFont="1" applyFill="1" applyAlignment="1">
      <alignment horizontal="centerContinuous" vertical="center"/>
    </xf>
    <xf numFmtId="0" fontId="3" fillId="3" borderId="0" xfId="0" applyFont="1" applyFill="1" applyAlignment="1">
      <alignment horizontal="centerContinuous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1" applyNumberFormat="1" applyFont="1"/>
    <xf numFmtId="164" fontId="2" fillId="0" borderId="1" xfId="1" applyNumberFormat="1" applyFont="1" applyBorder="1"/>
  </cellXfs>
  <cellStyles count="2">
    <cellStyle name="Normal" xfId="0" builtinId="0"/>
    <cellStyle name="Percent" xfId="1" builtinId="5"/>
  </cellStyles>
  <dxfs count="11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7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5965E5-DE37-4D8D-86CB-3CC9EAD1ADDD}" name="Actual_2022" displayName="Actual_2022" ref="B4:G17" totalsRowCount="1">
  <autoFilter ref="B4:G16" xr:uid="{585965E5-DE37-4D8D-86CB-3CC9EAD1ADD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38C61E8-839B-40A1-A47C-0761F1AEE8DA}" name="Month" totalsRowLabel="Total"/>
    <tableColumn id="2" xr3:uid="{4F1D4D52-66C4-42BA-9438-2EA6373DD22C}" name="Accessories" totalsRowFunction="sum" dataDxfId="10" totalsRowDxfId="9"/>
    <tableColumn id="3" xr3:uid="{CE860E33-76DA-4594-AE1C-FC0AB732E379}" name="Bikes" totalsRowFunction="sum" dataDxfId="8" totalsRowDxfId="7"/>
    <tableColumn id="4" xr3:uid="{8C42043F-EAD3-472D-AAB8-07041FE7EAD4}" name="Clothing" totalsRowFunction="sum" dataDxfId="6" totalsRowDxfId="5"/>
    <tableColumn id="5" xr3:uid="{8CEF0CC4-1095-4D4D-A5FC-5D4596E52405}" name="Components" totalsRowFunction="sum" dataDxfId="4" totalsRowDxfId="3"/>
    <tableColumn id="6" xr3:uid="{9FC93CB8-3EAB-4F19-AF08-4E36D32DEBDB}" name="Total" totalsRowFunction="sum" dataDxfId="2" totalsRowDxfId="1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6CFE20-D4FF-42C4-A8BC-DDEF9409B595}" name="Bud_23" displayName="Bud_23" ref="O4:P9" totalsRowCount="1">
  <autoFilter ref="O4:P8" xr:uid="{1A6CFE20-D4FF-42C4-A8BC-DDEF9409B595}">
    <filterColumn colId="0" hiddenButton="1"/>
    <filterColumn colId="1" hiddenButton="1"/>
  </autoFilter>
  <tableColumns count="2">
    <tableColumn id="1" xr3:uid="{35CEA094-94E4-4F6E-A79C-CD0C442AA599}" name="Category" totalsRowLabel="Total"/>
    <tableColumn id="2" xr3:uid="{AA4B7C6C-FA5F-4918-9CB2-1BBE3C102543}" name="Revenue " totalsRowFunction="sum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766E-19F6-4AEE-9F39-939BFF854772}">
  <dimension ref="B2:P17"/>
  <sheetViews>
    <sheetView showGridLines="0" tabSelected="1" workbookViewId="0">
      <selection activeCell="Q13" sqref="Q13"/>
    </sheetView>
  </sheetViews>
  <sheetFormatPr defaultRowHeight="13.8" x14ac:dyDescent="0.25"/>
  <cols>
    <col min="1" max="1" width="4.5" customWidth="1"/>
    <col min="2" max="2" width="13.125" customWidth="1"/>
    <col min="3" max="7" width="14.375" customWidth="1"/>
    <col min="8" max="8" width="2.875" hidden="1" customWidth="1"/>
    <col min="9" max="13" width="12.5" hidden="1" customWidth="1"/>
    <col min="14" max="14" width="2.75" customWidth="1"/>
    <col min="15" max="18" width="14.375" customWidth="1"/>
  </cols>
  <sheetData>
    <row r="2" spans="2:16" ht="23.4" x14ac:dyDescent="0.25">
      <c r="B2" s="3" t="s">
        <v>20</v>
      </c>
      <c r="C2" s="3"/>
      <c r="D2" s="3"/>
      <c r="E2" s="3"/>
      <c r="F2" s="3"/>
      <c r="G2" s="3"/>
      <c r="H2" s="4"/>
      <c r="I2" s="3" t="s">
        <v>23</v>
      </c>
      <c r="J2" s="3"/>
      <c r="K2" s="3"/>
      <c r="L2" s="3"/>
      <c r="M2" s="3"/>
      <c r="O2" s="6" t="s">
        <v>21</v>
      </c>
      <c r="P2" s="7"/>
    </row>
    <row r="4" spans="2:16" x14ac:dyDescent="0.25">
      <c r="B4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I4" s="2" t="s">
        <v>0</v>
      </c>
      <c r="J4" s="2" t="s">
        <v>1</v>
      </c>
      <c r="K4" s="2" t="s">
        <v>2</v>
      </c>
      <c r="L4" s="2" t="s">
        <v>3</v>
      </c>
      <c r="M4" s="2" t="s">
        <v>4</v>
      </c>
      <c r="O4" t="s">
        <v>18</v>
      </c>
      <c r="P4" t="s">
        <v>19</v>
      </c>
    </row>
    <row r="5" spans="2:16" x14ac:dyDescent="0.25">
      <c r="B5" t="s">
        <v>6</v>
      </c>
      <c r="C5" s="1">
        <v>1912.2</v>
      </c>
      <c r="D5" s="1">
        <v>27834.269999999997</v>
      </c>
      <c r="E5" s="1">
        <v>4403.0699999999988</v>
      </c>
      <c r="F5" s="1">
        <v>1585.61</v>
      </c>
      <c r="G5" s="1">
        <v>35735.149999999994</v>
      </c>
      <c r="I5" t="s">
        <v>6</v>
      </c>
      <c r="J5" s="10">
        <f>C5/Actual_2022[[#Totals],[Accessories]]</f>
        <v>1.866525013016479E-2</v>
      </c>
      <c r="K5" s="10">
        <f>D5/Actual_2022[[#Totals],[Bikes]]</f>
        <v>0.31428403350072248</v>
      </c>
      <c r="L5" s="10">
        <f>E5/Actual_2022[[#Totals],[Clothing]]</f>
        <v>4.3546407340049102E-2</v>
      </c>
      <c r="M5" s="10">
        <f>F5/Actual_2022[[#Totals],[Components]]</f>
        <v>2.4610637980512454E-2</v>
      </c>
      <c r="O5" t="s">
        <v>1</v>
      </c>
      <c r="P5" s="1">
        <v>115765.1778</v>
      </c>
    </row>
    <row r="6" spans="2:16" x14ac:dyDescent="0.25">
      <c r="B6" t="s">
        <v>7</v>
      </c>
      <c r="C6" s="1">
        <v>1679.05</v>
      </c>
      <c r="D6" s="1">
        <v>20439.810000000001</v>
      </c>
      <c r="E6" s="1">
        <v>2856.7699999999995</v>
      </c>
      <c r="F6" s="1">
        <v>1440.5</v>
      </c>
      <c r="G6" s="1">
        <v>26416.13</v>
      </c>
      <c r="I6" t="s">
        <v>7</v>
      </c>
      <c r="J6" s="10">
        <f>C6/Actual_2022[[#Totals],[Accessories]]</f>
        <v>1.638944055593201E-2</v>
      </c>
      <c r="K6" s="10">
        <f>D6/Actual_2022[[#Totals],[Bikes]]</f>
        <v>0.23079124873001533</v>
      </c>
      <c r="L6" s="10">
        <f>E6/Actual_2022[[#Totals],[Clothing]]</f>
        <v>2.8253484522579041E-2</v>
      </c>
      <c r="M6" s="10">
        <f>F6/Actual_2022[[#Totals],[Components]]</f>
        <v>2.2358350420928343E-2</v>
      </c>
      <c r="O6" t="s">
        <v>2</v>
      </c>
      <c r="P6" s="1">
        <v>99191.747200000027</v>
      </c>
    </row>
    <row r="7" spans="2:16" x14ac:dyDescent="0.25">
      <c r="B7" t="s">
        <v>8</v>
      </c>
      <c r="C7" s="1">
        <v>6526.59</v>
      </c>
      <c r="D7" s="1">
        <v>16816.78</v>
      </c>
      <c r="E7" s="1">
        <v>4921.7900000000009</v>
      </c>
      <c r="F7" s="1">
        <v>1866.7899999999997</v>
      </c>
      <c r="G7" s="1">
        <v>30131.95</v>
      </c>
      <c r="I7" t="s">
        <v>8</v>
      </c>
      <c r="J7" s="10">
        <f>C7/Actual_2022[[#Totals],[Accessories]]</f>
        <v>6.3706952644614692E-2</v>
      </c>
      <c r="K7" s="10">
        <f>D7/Actual_2022[[#Totals],[Bikes]]</f>
        <v>0.18988266798066844</v>
      </c>
      <c r="L7" s="10">
        <f>E7/Actual_2022[[#Totals],[Clothing]]</f>
        <v>4.8676553446159246E-2</v>
      </c>
      <c r="M7" s="10">
        <f>F7/Actual_2022[[#Totals],[Components]]</f>
        <v>2.8974901063717334E-2</v>
      </c>
      <c r="O7" t="s">
        <v>3</v>
      </c>
      <c r="P7" s="1">
        <v>116278.94950000009</v>
      </c>
    </row>
    <row r="8" spans="2:16" x14ac:dyDescent="0.25">
      <c r="B8" t="s">
        <v>9</v>
      </c>
      <c r="C8" s="1">
        <v>8014.56</v>
      </c>
      <c r="D8" s="1">
        <v>808.47</v>
      </c>
      <c r="E8" s="1">
        <v>8809.7100000000009</v>
      </c>
      <c r="F8" s="1">
        <v>6479.7900000000009</v>
      </c>
      <c r="G8" s="1">
        <v>24112.530000000002</v>
      </c>
      <c r="I8" t="s">
        <v>9</v>
      </c>
      <c r="J8" s="10">
        <f>C8/Actual_2022[[#Totals],[Accessories]]</f>
        <v>7.823123474700007E-2</v>
      </c>
      <c r="K8" s="10">
        <f>D8/Actual_2022[[#Totals],[Bikes]]</f>
        <v>9.1286465412719342E-3</v>
      </c>
      <c r="L8" s="10">
        <f>E8/Actual_2022[[#Totals],[Clothing]]</f>
        <v>8.7128122016616613E-2</v>
      </c>
      <c r="M8" s="10">
        <f>F8/Actual_2022[[#Totals],[Components]]</f>
        <v>0.10057439463660346</v>
      </c>
      <c r="O8" t="s">
        <v>4</v>
      </c>
      <c r="P8" s="1">
        <v>70870.612999999998</v>
      </c>
    </row>
    <row r="9" spans="2:16" x14ac:dyDescent="0.25">
      <c r="B9" t="s">
        <v>10</v>
      </c>
      <c r="C9" s="1">
        <v>8600.4500000000025</v>
      </c>
      <c r="D9" s="1">
        <v>741.06000000000006</v>
      </c>
      <c r="E9" s="1">
        <v>10547.99</v>
      </c>
      <c r="F9" s="1">
        <v>7305.51</v>
      </c>
      <c r="G9" s="1">
        <v>27195.010000000002</v>
      </c>
      <c r="I9" t="s">
        <v>10</v>
      </c>
      <c r="J9" s="10">
        <f>C9/Actual_2022[[#Totals],[Accessories]]</f>
        <v>8.3950188516878896E-2</v>
      </c>
      <c r="K9" s="10">
        <f>D9/Actual_2022[[#Totals],[Bikes]]</f>
        <v>8.3675025738431611E-3</v>
      </c>
      <c r="L9" s="10">
        <f>E9/Actual_2022[[#Totals],[Clothing]]</f>
        <v>0.10431972899789571</v>
      </c>
      <c r="M9" s="10">
        <f>F9/Actual_2022[[#Totals],[Components]]</f>
        <v>0.11339059533744966</v>
      </c>
      <c r="O9" t="s">
        <v>5</v>
      </c>
      <c r="P9" s="1">
        <f>SUBTOTAL(109,Bud_23[[Revenue ]])</f>
        <v>402106.48750000016</v>
      </c>
    </row>
    <row r="10" spans="2:16" x14ac:dyDescent="0.25">
      <c r="B10" t="s">
        <v>11</v>
      </c>
      <c r="C10" s="1">
        <v>13980.789999999995</v>
      </c>
      <c r="D10" s="1">
        <v>1056.19</v>
      </c>
      <c r="E10" s="1">
        <v>10326.509999999998</v>
      </c>
      <c r="F10" s="1">
        <v>5873.4500000000007</v>
      </c>
      <c r="G10" s="1">
        <v>31236.939999999995</v>
      </c>
      <c r="I10" t="s">
        <v>11</v>
      </c>
      <c r="J10" s="10">
        <f>C10/Actual_2022[[#Totals],[Accessories]]</f>
        <v>0.13646843550219984</v>
      </c>
      <c r="K10" s="10">
        <f>D10/Actual_2022[[#Totals],[Bikes]]</f>
        <v>1.1925717949244876E-2</v>
      </c>
      <c r="L10" s="10">
        <f>E10/Actual_2022[[#Totals],[Clothing]]</f>
        <v>0.10212928953232416</v>
      </c>
      <c r="M10" s="10">
        <f>F10/Actual_2022[[#Totals],[Components]]</f>
        <v>9.1163244206734884E-2</v>
      </c>
    </row>
    <row r="11" spans="2:16" x14ac:dyDescent="0.25">
      <c r="B11" t="s">
        <v>12</v>
      </c>
      <c r="C11" s="1">
        <v>11076.83</v>
      </c>
      <c r="D11" s="1">
        <v>711.12</v>
      </c>
      <c r="E11" s="1">
        <v>11261.269999999999</v>
      </c>
      <c r="F11" s="1">
        <v>5630.47</v>
      </c>
      <c r="G11" s="1">
        <v>28679.690000000002</v>
      </c>
      <c r="I11" t="s">
        <v>12</v>
      </c>
      <c r="J11" s="10">
        <f>C11/Actual_2022[[#Totals],[Accessories]]</f>
        <v>0.10812247808770696</v>
      </c>
      <c r="K11" s="10">
        <f>D11/Actual_2022[[#Totals],[Bikes]]</f>
        <v>8.0294421913358529E-3</v>
      </c>
      <c r="L11" s="10">
        <f>E11/Actual_2022[[#Totals],[Clothing]]</f>
        <v>0.11137407549420628</v>
      </c>
      <c r="M11" s="10">
        <f>F11/Actual_2022[[#Totals],[Components]]</f>
        <v>8.7391892602932605E-2</v>
      </c>
    </row>
    <row r="12" spans="2:16" x14ac:dyDescent="0.25">
      <c r="B12" t="s">
        <v>13</v>
      </c>
      <c r="C12" s="1">
        <v>7958.69</v>
      </c>
      <c r="D12" s="1">
        <v>1143.8300000000002</v>
      </c>
      <c r="E12" s="1">
        <v>11145.560000000001</v>
      </c>
      <c r="F12" s="1">
        <v>6900.4500000000016</v>
      </c>
      <c r="G12" s="1">
        <v>27148.530000000002</v>
      </c>
      <c r="I12" t="s">
        <v>13</v>
      </c>
      <c r="J12" s="10">
        <f>C12/Actual_2022[[#Totals],[Accessories]]</f>
        <v>7.7685879907144234E-2</v>
      </c>
      <c r="K12" s="10">
        <f>D12/Actual_2022[[#Totals],[Bikes]]</f>
        <v>1.2915284145735869E-2</v>
      </c>
      <c r="L12" s="10">
        <f>E12/Actual_2022[[#Totals],[Clothing]]</f>
        <v>0.11022970241058122</v>
      </c>
      <c r="M12" s="10">
        <f>F12/Actual_2022[[#Totals],[Components]]</f>
        <v>0.10710356068177371</v>
      </c>
    </row>
    <row r="13" spans="2:16" x14ac:dyDescent="0.25">
      <c r="B13" t="s">
        <v>14</v>
      </c>
      <c r="C13" s="1">
        <v>15319.53</v>
      </c>
      <c r="D13" s="1">
        <v>780.12000000000012</v>
      </c>
      <c r="E13" s="1">
        <v>8776.82</v>
      </c>
      <c r="F13" s="1">
        <v>9069.9399999999987</v>
      </c>
      <c r="G13" s="1">
        <v>33946.410000000003</v>
      </c>
      <c r="I13" t="s">
        <v>14</v>
      </c>
      <c r="J13" s="10">
        <f>C13/Actual_2022[[#Totals],[Accessories]]</f>
        <v>0.14953606282112927</v>
      </c>
      <c r="K13" s="10">
        <f>D13/Actual_2022[[#Totals],[Bikes]]</f>
        <v>8.8085392652504889E-3</v>
      </c>
      <c r="L13" s="10">
        <f>E13/Actual_2022[[#Totals],[Clothing]]</f>
        <v>8.6802839580176983E-2</v>
      </c>
      <c r="M13" s="10">
        <f>F13/Actual_2022[[#Totals],[Components]]</f>
        <v>0.14077674197625464</v>
      </c>
    </row>
    <row r="14" spans="2:16" x14ac:dyDescent="0.25">
      <c r="B14" t="s">
        <v>15</v>
      </c>
      <c r="C14" s="1">
        <v>11800.029999999999</v>
      </c>
      <c r="D14" s="1">
        <v>805.58</v>
      </c>
      <c r="E14" s="1">
        <v>12969.289999999999</v>
      </c>
      <c r="F14" s="1">
        <v>6594.6500000000005</v>
      </c>
      <c r="G14" s="1">
        <v>32169.55</v>
      </c>
      <c r="I14" t="s">
        <v>15</v>
      </c>
      <c r="J14" s="10">
        <f>C14/Actual_2022[[#Totals],[Accessories]]</f>
        <v>0.11518173386332413</v>
      </c>
      <c r="K14" s="10">
        <f>D14/Actual_2022[[#Totals],[Bikes]]</f>
        <v>9.0960147942630454E-3</v>
      </c>
      <c r="L14" s="10">
        <f>E14/Actual_2022[[#Totals],[Clothing]]</f>
        <v>0.12826641076594866</v>
      </c>
      <c r="M14" s="10">
        <f>F14/Actual_2022[[#Totals],[Components]]</f>
        <v>0.10235716459796954</v>
      </c>
    </row>
    <row r="15" spans="2:16" x14ac:dyDescent="0.25">
      <c r="B15" t="s">
        <v>16</v>
      </c>
      <c r="C15" s="1">
        <v>8895.9499999999989</v>
      </c>
      <c r="D15" s="1">
        <v>1170.03</v>
      </c>
      <c r="E15" s="1">
        <v>6532.2099999999991</v>
      </c>
      <c r="F15" s="1">
        <v>4938.3399999999992</v>
      </c>
      <c r="G15" s="1">
        <v>21536.53</v>
      </c>
      <c r="I15" t="s">
        <v>16</v>
      </c>
      <c r="J15" s="10">
        <f>C15/Actual_2022[[#Totals],[Accessories]]</f>
        <v>8.683460511214279E-2</v>
      </c>
      <c r="K15" s="10">
        <f>D15/Actual_2022[[#Totals],[Bikes]]</f>
        <v>1.321111520858461E-2</v>
      </c>
      <c r="L15" s="10">
        <f>E15/Actual_2022[[#Totals],[Clothing]]</f>
        <v>6.4603623719528006E-2</v>
      </c>
      <c r="M15" s="10">
        <f>F15/Actual_2022[[#Totals],[Components]]</f>
        <v>7.6649174743274734E-2</v>
      </c>
    </row>
    <row r="16" spans="2:16" x14ac:dyDescent="0.25">
      <c r="B16" t="s">
        <v>17</v>
      </c>
      <c r="C16" s="1">
        <v>6682.39</v>
      </c>
      <c r="D16" s="1">
        <v>16256.800000000003</v>
      </c>
      <c r="E16" s="1">
        <v>8561.1399999999976</v>
      </c>
      <c r="F16" s="1">
        <v>6742.329999999999</v>
      </c>
      <c r="G16" s="1">
        <v>38242.660000000003</v>
      </c>
      <c r="I16" t="s">
        <v>17</v>
      </c>
      <c r="J16" s="10">
        <f>C16/Actual_2022[[#Totals],[Accessories]]</f>
        <v>6.5227738111762315E-2</v>
      </c>
      <c r="K16" s="10">
        <f>D16/Actual_2022[[#Totals],[Bikes]]</f>
        <v>0.1835597871190639</v>
      </c>
      <c r="L16" s="10">
        <f>E16/Actual_2022[[#Totals],[Clothing]]</f>
        <v>8.4669762173935001E-2</v>
      </c>
      <c r="M16" s="10">
        <f>F16/Actual_2022[[#Totals],[Components]]</f>
        <v>0.10464934175184851</v>
      </c>
    </row>
    <row r="17" spans="2:13" x14ac:dyDescent="0.25">
      <c r="B17" t="s">
        <v>5</v>
      </c>
      <c r="C17" s="1">
        <f>SUBTOTAL(109,Actual_2022[Accessories])</f>
        <v>102447.06</v>
      </c>
      <c r="D17" s="1">
        <f>SUBTOTAL(109,Actual_2022[Bikes])</f>
        <v>88564.06</v>
      </c>
      <c r="E17" s="1">
        <f>SUBTOTAL(109,Actual_2022[Clothing])</f>
        <v>101112.12999999999</v>
      </c>
      <c r="F17" s="1">
        <f>SUBTOTAL(109,Actual_2022[Components])</f>
        <v>64427.830000000009</v>
      </c>
      <c r="G17" s="1">
        <f>SUBTOTAL(109,Actual_2022[Total])</f>
        <v>356551.07999999996</v>
      </c>
      <c r="I17" s="2" t="s">
        <v>5</v>
      </c>
      <c r="J17" s="11">
        <f>SUM(J5:J16)</f>
        <v>1</v>
      </c>
      <c r="K17" s="11">
        <f t="shared" ref="K17:M17" si="0">SUM(K5:K16)</f>
        <v>1</v>
      </c>
      <c r="L17" s="11">
        <f t="shared" si="0"/>
        <v>0.99999999999999989</v>
      </c>
      <c r="M17" s="11">
        <f t="shared" si="0"/>
        <v>0.99999999999999989</v>
      </c>
    </row>
  </sheetData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38FC-B575-45A6-B90E-B50AB681A321}">
  <dimension ref="B2:G17"/>
  <sheetViews>
    <sheetView showGridLines="0" workbookViewId="0">
      <selection activeCell="I12" sqref="I12"/>
    </sheetView>
  </sheetViews>
  <sheetFormatPr defaultRowHeight="13.8" x14ac:dyDescent="0.25"/>
  <cols>
    <col min="1" max="1" width="5.375" customWidth="1"/>
    <col min="2" max="2" width="9.5" customWidth="1"/>
    <col min="3" max="3" width="16.5" bestFit="1" customWidth="1"/>
    <col min="4" max="7" width="15.625" customWidth="1"/>
  </cols>
  <sheetData>
    <row r="2" spans="2:7" ht="23.4" x14ac:dyDescent="0.25">
      <c r="B2" s="6" t="s">
        <v>22</v>
      </c>
      <c r="C2" s="6"/>
      <c r="D2" s="6"/>
      <c r="E2" s="6"/>
      <c r="F2" s="6"/>
      <c r="G2" s="6"/>
    </row>
    <row r="4" spans="2:7" x14ac:dyDescent="0.25">
      <c r="B4" s="2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</row>
    <row r="5" spans="2:7" x14ac:dyDescent="0.25">
      <c r="B5" t="s">
        <v>6</v>
      </c>
      <c r="C5" s="1" cm="1">
        <f t="array" ref="C5">_xlfn.XLOOKUP(C$4,Bud_23[[Category]:[Category]],Bud_23[[Revenue ]:[Revenue ]])*Data!C5/Actual_2022[[#Totals],[Accessories]]</f>
        <v>2160.7860000000001</v>
      </c>
      <c r="D5" s="1" cm="1">
        <f t="array" ref="D5">_xlfn.XLOOKUP(D$4,Bud_23[[Category]:[Category]],Bud_23[[Revenue ]:[Revenue ]])*Data!D5/Actual_2022[[#Totals],[Bikes]]</f>
        <v>31174.382400000006</v>
      </c>
      <c r="E5" s="1" cm="1">
        <f t="array" ref="E5">_xlfn.XLOOKUP(E$4,Bud_23[[Category]:[Category]],Bud_23[[Revenue ]:[Revenue ]])*Data!E5/Actual_2022[[#Totals],[Clothing]]</f>
        <v>5063.5305000000035</v>
      </c>
      <c r="F5" s="1" cm="1">
        <f t="array" ref="F5">_xlfn.XLOOKUP(F$4,Bud_23[[Category]:[Category]],Bud_23[[Revenue ]:[Revenue ]])*Data!F5/Actual_2022[[#Totals],[Components]]</f>
        <v>1744.1709999999996</v>
      </c>
      <c r="G5" s="1">
        <f t="shared" ref="G5:G17" si="0">SUM(C5:F5)</f>
        <v>40142.869900000012</v>
      </c>
    </row>
    <row r="6" spans="2:7" x14ac:dyDescent="0.25">
      <c r="B6" t="s">
        <v>7</v>
      </c>
      <c r="C6" s="1" cm="1">
        <f t="array" ref="C6">_xlfn.XLOOKUP(C$4,Bud_23[[Category]:[Category]],Bud_23[[Revenue ]:[Revenue ]])*Data!C6/Actual_2022[[#Totals],[Accessories]]</f>
        <v>1897.3265000000001</v>
      </c>
      <c r="D6" s="1" cm="1">
        <f t="array" ref="D6">_xlfn.XLOOKUP(D$4,Bud_23[[Category]:[Category]],Bud_23[[Revenue ]:[Revenue ]])*Data!D6/Actual_2022[[#Totals],[Bikes]]</f>
        <v>22892.587200000009</v>
      </c>
      <c r="E6" s="1" cm="1">
        <f t="array" ref="E6">_xlfn.XLOOKUP(E$4,Bud_23[[Category]:[Category]],Bud_23[[Revenue ]:[Revenue ]])*Data!E6/Actual_2022[[#Totals],[Clothing]]</f>
        <v>3285.2855000000022</v>
      </c>
      <c r="F6" s="1" cm="1">
        <f t="array" ref="F6">_xlfn.XLOOKUP(F$4,Bud_23[[Category]:[Category]],Bud_23[[Revenue ]:[Revenue ]])*Data!F6/Actual_2022[[#Totals],[Components]]</f>
        <v>1584.5499999999997</v>
      </c>
      <c r="G6" s="1">
        <f t="shared" si="0"/>
        <v>29659.749200000009</v>
      </c>
    </row>
    <row r="7" spans="2:7" x14ac:dyDescent="0.25">
      <c r="B7" t="s">
        <v>8</v>
      </c>
      <c r="C7" s="1" cm="1">
        <f t="array" ref="C7">_xlfn.XLOOKUP(C$4,Bud_23[[Category]:[Category]],Bud_23[[Revenue ]:[Revenue ]])*Data!C7/Actual_2022[[#Totals],[Accessories]]</f>
        <v>7375.0467000000008</v>
      </c>
      <c r="D7" s="1" cm="1">
        <f t="array" ref="D7">_xlfn.XLOOKUP(D$4,Bud_23[[Category]:[Category]],Bud_23[[Revenue ]:[Revenue ]])*Data!D7/Actual_2022[[#Totals],[Bikes]]</f>
        <v>18834.793600000005</v>
      </c>
      <c r="E7" s="1" cm="1">
        <f t="array" ref="E7">_xlfn.XLOOKUP(E$4,Bud_23[[Category]:[Category]],Bud_23[[Revenue ]:[Revenue ]])*Data!E7/Actual_2022[[#Totals],[Clothing]]</f>
        <v>5660.0585000000056</v>
      </c>
      <c r="F7" s="1" cm="1">
        <f t="array" ref="F7">_xlfn.XLOOKUP(F$4,Bud_23[[Category]:[Category]],Bud_23[[Revenue ]:[Revenue ]])*Data!F7/Actual_2022[[#Totals],[Components]]</f>
        <v>2053.4689999999996</v>
      </c>
      <c r="G7" s="1">
        <f t="shared" si="0"/>
        <v>33923.367800000007</v>
      </c>
    </row>
    <row r="8" spans="2:7" x14ac:dyDescent="0.25">
      <c r="B8" t="s">
        <v>9</v>
      </c>
      <c r="C8" s="1" cm="1">
        <f t="array" ref="C8">_xlfn.XLOOKUP(C$4,Bud_23[[Category]:[Category]],Bud_23[[Revenue ]:[Revenue ]])*Data!C8/Actual_2022[[#Totals],[Accessories]]</f>
        <v>9056.4528000000009</v>
      </c>
      <c r="D8" s="1" cm="1">
        <f t="array" ref="D8">_xlfn.XLOOKUP(D$4,Bud_23[[Category]:[Category]],Bud_23[[Revenue ]:[Revenue ]])*Data!D8/Actual_2022[[#Totals],[Bikes]]</f>
        <v>905.48640000000023</v>
      </c>
      <c r="E8" s="1" cm="1">
        <f t="array" ref="E8">_xlfn.XLOOKUP(E$4,Bud_23[[Category]:[Category]],Bud_23[[Revenue ]:[Revenue ]])*Data!E8/Actual_2022[[#Totals],[Clothing]]</f>
        <v>10131.16650000001</v>
      </c>
      <c r="F8" s="1" cm="1">
        <f t="array" ref="F8">_xlfn.XLOOKUP(F$4,Bud_23[[Category]:[Category]],Bud_23[[Revenue ]:[Revenue ]])*Data!F8/Actual_2022[[#Totals],[Components]]</f>
        <v>7127.7689999999993</v>
      </c>
      <c r="G8" s="1">
        <f t="shared" si="0"/>
        <v>27220.874700000011</v>
      </c>
    </row>
    <row r="9" spans="2:7" x14ac:dyDescent="0.25">
      <c r="B9" t="s">
        <v>10</v>
      </c>
      <c r="C9" s="1" cm="1">
        <f t="array" ref="C9">_xlfn.XLOOKUP(C$4,Bud_23[[Category]:[Category]],Bud_23[[Revenue ]:[Revenue ]])*Data!C9/Actual_2022[[#Totals],[Accessories]]</f>
        <v>9718.5085000000036</v>
      </c>
      <c r="D9" s="1" cm="1">
        <f t="array" ref="D9">_xlfn.XLOOKUP(D$4,Bud_23[[Category]:[Category]],Bud_23[[Revenue ]:[Revenue ]])*Data!D9/Actual_2022[[#Totals],[Bikes]]</f>
        <v>829.98720000000037</v>
      </c>
      <c r="E9" s="1" cm="1">
        <f t="array" ref="E9">_xlfn.XLOOKUP(E$4,Bud_23[[Category]:[Category]],Bud_23[[Revenue ]:[Revenue ]])*Data!E9/Actual_2022[[#Totals],[Clothing]]</f>
        <v>12130.188500000011</v>
      </c>
      <c r="F9" s="1" cm="1">
        <f t="array" ref="F9">_xlfn.XLOOKUP(F$4,Bud_23[[Category]:[Category]],Bud_23[[Revenue ]:[Revenue ]])*Data!F9/Actual_2022[[#Totals],[Components]]</f>
        <v>8036.0609999999988</v>
      </c>
      <c r="G9" s="1">
        <f t="shared" si="0"/>
        <v>30714.745200000012</v>
      </c>
    </row>
    <row r="10" spans="2:7" x14ac:dyDescent="0.25">
      <c r="B10" t="s">
        <v>11</v>
      </c>
      <c r="C10" s="1" cm="1">
        <f t="array" ref="C10">_xlfn.XLOOKUP(C$4,Bud_23[[Category]:[Category]],Bud_23[[Revenue ]:[Revenue ]])*Data!C10/Actual_2022[[#Totals],[Accessories]]</f>
        <v>15798.292699999996</v>
      </c>
      <c r="D10" s="1" cm="1">
        <f t="array" ref="D10">_xlfn.XLOOKUP(D$4,Bud_23[[Category]:[Category]],Bud_23[[Revenue ]:[Revenue ]])*Data!D10/Actual_2022[[#Totals],[Bikes]]</f>
        <v>1182.9328000000005</v>
      </c>
      <c r="E10" s="1" cm="1">
        <f t="array" ref="E10">_xlfn.XLOOKUP(E$4,Bud_23[[Category]:[Category]],Bud_23[[Revenue ]:[Revenue ]])*Data!E10/Actual_2022[[#Totals],[Clothing]]</f>
        <v>11875.486500000008</v>
      </c>
      <c r="F10" s="1" cm="1">
        <f t="array" ref="F10">_xlfn.XLOOKUP(F$4,Bud_23[[Category]:[Category]],Bud_23[[Revenue ]:[Revenue ]])*Data!F10/Actual_2022[[#Totals],[Components]]</f>
        <v>6460.7950000000001</v>
      </c>
      <c r="G10" s="1">
        <f t="shared" si="0"/>
        <v>35317.507000000005</v>
      </c>
    </row>
    <row r="11" spans="2:7" x14ac:dyDescent="0.25">
      <c r="B11" t="s">
        <v>12</v>
      </c>
      <c r="C11" s="1" cm="1">
        <f t="array" ref="C11">_xlfn.XLOOKUP(C$4,Bud_23[[Category]:[Category]],Bud_23[[Revenue ]:[Revenue ]])*Data!C11/Actual_2022[[#Totals],[Accessories]]</f>
        <v>12516.817900000002</v>
      </c>
      <c r="D11" s="1" cm="1">
        <f t="array" ref="D11">_xlfn.XLOOKUP(D$4,Bud_23[[Category]:[Category]],Bud_23[[Revenue ]:[Revenue ]])*Data!D11/Actual_2022[[#Totals],[Bikes]]</f>
        <v>796.45440000000031</v>
      </c>
      <c r="E11" s="1" cm="1">
        <f t="array" ref="E11">_xlfn.XLOOKUP(E$4,Bud_23[[Category]:[Category]],Bud_23[[Revenue ]:[Revenue ]])*Data!E11/Actual_2022[[#Totals],[Clothing]]</f>
        <v>12950.46050000001</v>
      </c>
      <c r="F11" s="1" cm="1">
        <f t="array" ref="F11">_xlfn.XLOOKUP(F$4,Bud_23[[Category]:[Category]],Bud_23[[Revenue ]:[Revenue ]])*Data!F11/Actual_2022[[#Totals],[Components]]</f>
        <v>6193.5169999999989</v>
      </c>
      <c r="G11" s="1">
        <f t="shared" si="0"/>
        <v>32457.249800000012</v>
      </c>
    </row>
    <row r="12" spans="2:7" x14ac:dyDescent="0.25">
      <c r="B12" t="s">
        <v>13</v>
      </c>
      <c r="C12" s="1" cm="1">
        <f t="array" ref="C12">_xlfn.XLOOKUP(C$4,Bud_23[[Category]:[Category]],Bud_23[[Revenue ]:[Revenue ]])*Data!C12/Actual_2022[[#Totals],[Accessories]]</f>
        <v>8993.3197</v>
      </c>
      <c r="D12" s="1" cm="1">
        <f t="array" ref="D12">_xlfn.XLOOKUP(D$4,Bud_23[[Category]:[Category]],Bud_23[[Revenue ]:[Revenue ]])*Data!D12/Actual_2022[[#Totals],[Bikes]]</f>
        <v>1281.0896000000007</v>
      </c>
      <c r="E12" s="1" cm="1">
        <f t="array" ref="E12">_xlfn.XLOOKUP(E$4,Bud_23[[Category]:[Category]],Bud_23[[Revenue ]:[Revenue ]])*Data!E12/Actual_2022[[#Totals],[Clothing]]</f>
        <v>12817.394000000013</v>
      </c>
      <c r="F12" s="1" cm="1">
        <f t="array" ref="F12">_xlfn.XLOOKUP(F$4,Bud_23[[Category]:[Category]],Bud_23[[Revenue ]:[Revenue ]])*Data!F12/Actual_2022[[#Totals],[Components]]</f>
        <v>7590.4950000000008</v>
      </c>
      <c r="G12" s="1">
        <f t="shared" si="0"/>
        <v>30682.298300000017</v>
      </c>
    </row>
    <row r="13" spans="2:7" x14ac:dyDescent="0.25">
      <c r="B13" t="s">
        <v>14</v>
      </c>
      <c r="C13" s="1" cm="1">
        <f t="array" ref="C13">_xlfn.XLOOKUP(C$4,Bud_23[[Category]:[Category]],Bud_23[[Revenue ]:[Revenue ]])*Data!C13/Actual_2022[[#Totals],[Accessories]]</f>
        <v>17311.068900000002</v>
      </c>
      <c r="D13" s="1" cm="1">
        <f t="array" ref="D13">_xlfn.XLOOKUP(D$4,Bud_23[[Category]:[Category]],Bud_23[[Revenue ]:[Revenue ]])*Data!D13/Actual_2022[[#Totals],[Bikes]]</f>
        <v>873.73440000000039</v>
      </c>
      <c r="E13" s="1" cm="1">
        <f t="array" ref="E13">_xlfn.XLOOKUP(E$4,Bud_23[[Category]:[Category]],Bud_23[[Revenue ]:[Revenue ]])*Data!E13/Actual_2022[[#Totals],[Clothing]]</f>
        <v>10093.343000000008</v>
      </c>
      <c r="F13" s="1" cm="1">
        <f t="array" ref="F13">_xlfn.XLOOKUP(F$4,Bud_23[[Category]:[Category]],Bud_23[[Revenue ]:[Revenue ]])*Data!F13/Actual_2022[[#Totals],[Components]]</f>
        <v>9976.9339999999975</v>
      </c>
      <c r="G13" s="1">
        <f t="shared" si="0"/>
        <v>38255.080300000009</v>
      </c>
    </row>
    <row r="14" spans="2:7" x14ac:dyDescent="0.25">
      <c r="B14" t="s">
        <v>15</v>
      </c>
      <c r="C14" s="1" cm="1">
        <f t="array" ref="C14">_xlfn.XLOOKUP(C$4,Bud_23[[Category]:[Category]],Bud_23[[Revenue ]:[Revenue ]])*Data!C14/Actual_2022[[#Totals],[Accessories]]</f>
        <v>13334.033899999999</v>
      </c>
      <c r="D14" s="1" cm="1">
        <f t="array" ref="D14">_xlfn.XLOOKUP(D$4,Bud_23[[Category]:[Category]],Bud_23[[Revenue ]:[Revenue ]])*Data!D14/Actual_2022[[#Totals],[Bikes]]</f>
        <v>902.24960000000033</v>
      </c>
      <c r="E14" s="1" cm="1">
        <f t="array" ref="E14">_xlfn.XLOOKUP(E$4,Bud_23[[Category]:[Category]],Bud_23[[Revenue ]:[Revenue ]])*Data!E14/Actual_2022[[#Totals],[Clothing]]</f>
        <v>14914.68350000001</v>
      </c>
      <c r="F14" s="1" cm="1">
        <f t="array" ref="F14">_xlfn.XLOOKUP(F$4,Bud_23[[Category]:[Category]],Bud_23[[Revenue ]:[Revenue ]])*Data!F14/Actual_2022[[#Totals],[Components]]</f>
        <v>7254.1149999999989</v>
      </c>
      <c r="G14" s="1">
        <f t="shared" si="0"/>
        <v>36405.082000000009</v>
      </c>
    </row>
    <row r="15" spans="2:7" x14ac:dyDescent="0.25">
      <c r="B15" t="s">
        <v>16</v>
      </c>
      <c r="C15" s="1" cm="1">
        <f t="array" ref="C15">_xlfn.XLOOKUP(C$4,Bud_23[[Category]:[Category]],Bud_23[[Revenue ]:[Revenue ]])*Data!C15/Actual_2022[[#Totals],[Accessories]]</f>
        <v>10052.423499999999</v>
      </c>
      <c r="D15" s="1" cm="1">
        <f t="array" ref="D15">_xlfn.XLOOKUP(D$4,Bud_23[[Category]:[Category]],Bud_23[[Revenue ]:[Revenue ]])*Data!D15/Actual_2022[[#Totals],[Bikes]]</f>
        <v>1310.4336000000003</v>
      </c>
      <c r="E15" s="1" cm="1">
        <f t="array" ref="E15">_xlfn.XLOOKUP(E$4,Bud_23[[Category]:[Category]],Bud_23[[Revenue ]:[Revenue ]])*Data!E15/Actual_2022[[#Totals],[Clothing]]</f>
        <v>7512.0415000000057</v>
      </c>
      <c r="F15" s="1" cm="1">
        <f t="array" ref="F15">_xlfn.XLOOKUP(F$4,Bud_23[[Category]:[Category]],Bud_23[[Revenue ]:[Revenue ]])*Data!F15/Actual_2022[[#Totals],[Components]]</f>
        <v>5432.1739999999982</v>
      </c>
      <c r="G15" s="1">
        <f t="shared" si="0"/>
        <v>24307.072600000003</v>
      </c>
    </row>
    <row r="16" spans="2:7" x14ac:dyDescent="0.25">
      <c r="B16" t="s">
        <v>17</v>
      </c>
      <c r="C16" s="1" cm="1">
        <f t="array" ref="C16">_xlfn.XLOOKUP(C$4,Bud_23[[Category]:[Category]],Bud_23[[Revenue ]:[Revenue ]])*Data!C16/Actual_2022[[#Totals],[Accessories]]</f>
        <v>7551.1007000000009</v>
      </c>
      <c r="D16" s="1" cm="1">
        <f t="array" ref="D16">_xlfn.XLOOKUP(D$4,Bud_23[[Category]:[Category]],Bud_23[[Revenue ]:[Revenue ]])*Data!D16/Actual_2022[[#Totals],[Bikes]]</f>
        <v>18207.616000000009</v>
      </c>
      <c r="E16" s="1" cm="1">
        <f t="array" ref="E16">_xlfn.XLOOKUP(E$4,Bud_23[[Category]:[Category]],Bud_23[[Revenue ]:[Revenue ]])*Data!E16/Actual_2022[[#Totals],[Clothing]]</f>
        <v>9845.3110000000052</v>
      </c>
      <c r="F16" s="1" cm="1">
        <f t="array" ref="F16">_xlfn.XLOOKUP(F$4,Bud_23[[Category]:[Category]],Bud_23[[Revenue ]:[Revenue ]])*Data!F16/Actual_2022[[#Totals],[Components]]</f>
        <v>7416.5629999999974</v>
      </c>
      <c r="G16" s="1">
        <f t="shared" si="0"/>
        <v>43020.590700000015</v>
      </c>
    </row>
    <row r="17" spans="2:7" x14ac:dyDescent="0.25">
      <c r="B17" s="2" t="s">
        <v>5</v>
      </c>
      <c r="C17" s="5" cm="1">
        <f t="array" ref="C17">_xlfn.XLOOKUP(C$4,Bud_23[[Category]:[Category]],Bud_23[[Revenue ]:[Revenue ]])*Data!C17/Actual_2022[[#Totals],[Accessories]]</f>
        <v>115765.1778</v>
      </c>
      <c r="D17" s="5" cm="1">
        <f t="array" ref="D17">_xlfn.XLOOKUP(D$4,Bud_23[[Category]:[Category]],Bud_23[[Revenue ]:[Revenue ]])*Data!D17/Actual_2022[[#Totals],[Bikes]]</f>
        <v>99191.747200000027</v>
      </c>
      <c r="E17" s="5" cm="1">
        <f t="array" ref="E17">_xlfn.XLOOKUP(E$4,Bud_23[[Category]:[Category]],Bud_23[[Revenue ]:[Revenue ]])*Data!E17/Actual_2022[[#Totals],[Clothing]]</f>
        <v>116278.94950000009</v>
      </c>
      <c r="F17" s="5" cm="1">
        <f t="array" ref="F17">_xlfn.XLOOKUP(F$4,Bud_23[[Category]:[Category]],Bud_23[[Revenue ]:[Revenue ]])*Data!F17/Actual_2022[[#Totals],[Components]]</f>
        <v>70870.612999999998</v>
      </c>
      <c r="G17" s="5">
        <f t="shared" si="0"/>
        <v>402106.48750000016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Props1.xml><?xml version="1.0" encoding="utf-8"?>
<ds:datastoreItem xmlns:ds="http://schemas.openxmlformats.org/officeDocument/2006/customXml" ds:itemID="{D2FEB33E-D3DC-4800-BDBB-F2905CE06D94}">
  <ds:schemaRefs/>
</ds:datastoreItem>
</file>

<file path=customXml/itemProps2.xml><?xml version="1.0" encoding="utf-8"?>
<ds:datastoreItem xmlns:ds="http://schemas.openxmlformats.org/officeDocument/2006/customXml" ds:itemID="{3EE226FA-70CB-4C4A-A920-22199C76607C}">
  <ds:schemaRefs/>
</ds:datastoreItem>
</file>

<file path=customXml/itemProps3.xml><?xml version="1.0" encoding="utf-8"?>
<ds:datastoreItem xmlns:ds="http://schemas.openxmlformats.org/officeDocument/2006/customXml" ds:itemID="{E390734B-22B8-432C-9349-D2B03195C55E}">
  <ds:schemaRefs/>
</ds:datastoreItem>
</file>

<file path=customXml/itemProps4.xml><?xml version="1.0" encoding="utf-8"?>
<ds:datastoreItem xmlns:ds="http://schemas.openxmlformats.org/officeDocument/2006/customXml" ds:itemID="{36906829-B9AC-4347-8734-C4F2E6713F35}">
  <ds:schemaRefs/>
</ds:datastoreItem>
</file>

<file path=customXml/itemProps5.xml><?xml version="1.0" encoding="utf-8"?>
<ds:datastoreItem xmlns:ds="http://schemas.openxmlformats.org/officeDocument/2006/customXml" ds:itemID="{5CF49F91-C2EB-41A4-B4E1-C1767023CC6A}">
  <ds:schemaRefs/>
</ds:datastoreItem>
</file>

<file path=customXml/itemProps6.xml><?xml version="1.0" encoding="utf-8"?>
<ds:datastoreItem xmlns:ds="http://schemas.openxmlformats.org/officeDocument/2006/customXml" ds:itemID="{DE4BE873-6FD7-405C-B6FF-2EF07F1A7AFE}">
  <ds:schemaRefs/>
</ds:datastoreItem>
</file>

<file path=customXml/itemProps7.xml><?xml version="1.0" encoding="utf-8"?>
<ds:datastoreItem xmlns:ds="http://schemas.openxmlformats.org/officeDocument/2006/customXml" ds:itemID="{074D1D53-1937-4ABE-82D3-1BB73CCE6A10}">
  <ds:schemaRefs/>
</ds:datastoreItem>
</file>

<file path=customXml/itemProps8.xml><?xml version="1.0" encoding="utf-8"?>
<ds:datastoreItem xmlns:ds="http://schemas.openxmlformats.org/officeDocument/2006/customXml" ds:itemID="{E30BFE54-600C-46A6-A607-6BAC88F1CCA9}">
  <ds:schemaRefs/>
</ds:datastoreItem>
</file>

<file path=customXml/itemProps9.xml><?xml version="1.0" encoding="utf-8"?>
<ds:datastoreItem xmlns:ds="http://schemas.openxmlformats.org/officeDocument/2006/customXml" ds:itemID="{EB8D6AD0-5152-4C8B-B5CC-03D0FAA49822}">
  <ds:schemaRefs/>
</ds:datastoreItem>
</file>

<file path=customXml/itemProps10.xml><?xml version="1.0" encoding="utf-8"?>
<ds:datastoreItem xmlns:ds="http://schemas.openxmlformats.org/officeDocument/2006/customXml" ds:itemID="{E84DBB93-2BFD-413C-ACD9-453D3CC8D7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Expected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2023-06-08T20:54:10Z</dcterms:created>
  <dcterms:modified xsi:type="dcterms:W3CDTF">2023-06-10T09:03:38Z</dcterms:modified>
</cp:coreProperties>
</file>