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updateLinks="never"/>
  <mc:AlternateContent xmlns:mc="http://schemas.openxmlformats.org/markup-compatibility/2006">
    <mc:Choice Requires="x15">
      <x15ac:absPath xmlns:x15ac="http://schemas.microsoft.com/office/spreadsheetml/2010/11/ac" url="/Users/prashanth/Library/CloudStorage/Box-Box/BOM Automation/"/>
    </mc:Choice>
  </mc:AlternateContent>
  <xr:revisionPtr revIDLastSave="0" documentId="13_ncr:1_{A4270C71-96F2-C845-B67D-83BBB56A844E}" xr6:coauthVersionLast="47" xr6:coauthVersionMax="47" xr10:uidLastSave="{00000000-0000-0000-0000-000000000000}"/>
  <bookViews>
    <workbookView xWindow="0" yWindow="0" windowWidth="28800" windowHeight="18000" tabRatio="668" activeTab="2" xr2:uid="{00000000-000D-0000-FFFF-FFFF00000000}"/>
  </bookViews>
  <sheets>
    <sheet name="Version" sheetId="18" r:id="rId1"/>
    <sheet name="Design" sheetId="20" r:id="rId2"/>
    <sheet name="DATA" sheetId="2" r:id="rId3"/>
    <sheet name="LV" sheetId="3" r:id="rId4"/>
    <sheet name="HV" sheetId="1" r:id="rId5"/>
    <sheet name="CB" sheetId="5" r:id="rId6"/>
    <sheet name="AS-1" sheetId="6" r:id="rId7"/>
    <sheet name="AS-2" sheetId="7" r:id="rId8"/>
    <sheet name="3" sheetId="8" r:id="rId9"/>
    <sheet name="4" sheetId="9" r:id="rId10"/>
    <sheet name="4(data)" sheetId="10" r:id="rId11"/>
    <sheet name="5" sheetId="13" r:id="rId12"/>
    <sheet name="6" sheetId="11" r:id="rId13"/>
    <sheet name="6 4-step" sheetId="19" r:id="rId14"/>
    <sheet name="Ratio" sheetId="17" r:id="rId15"/>
  </sheets>
  <externalReferences>
    <externalReference r:id="rId16"/>
  </externalReferences>
  <definedNames>
    <definedName name="NO_TAP">[1]RATIO!$C$77:$C$80</definedName>
    <definedName name="VEC_GRP">[1]RATIO!$B$77:$B$92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9" l="1"/>
  <c r="C6" i="19" s="1"/>
  <c r="D5" i="19"/>
  <c r="C5" i="19" s="1"/>
  <c r="D4" i="19"/>
  <c r="C4" i="19" s="1"/>
  <c r="D3" i="19"/>
  <c r="C3" i="19" s="1"/>
  <c r="D7" i="11"/>
  <c r="D6" i="11"/>
  <c r="D5" i="11"/>
  <c r="D4" i="11"/>
  <c r="D3" i="11"/>
  <c r="C92" i="2"/>
  <c r="P7" i="17" s="1"/>
  <c r="C91" i="2"/>
  <c r="P6" i="17" s="1"/>
  <c r="C90" i="2"/>
  <c r="P5" i="17" s="1"/>
  <c r="C87" i="2"/>
  <c r="A17" i="19" s="1"/>
  <c r="C86" i="2"/>
  <c r="A16" i="19" s="1"/>
  <c r="C80" i="2"/>
  <c r="C79" i="2"/>
  <c r="C78" i="2"/>
  <c r="C77" i="2"/>
  <c r="C76" i="2"/>
  <c r="K4" i="17" s="1"/>
  <c r="C75" i="2"/>
  <c r="B22" i="9" s="1"/>
  <c r="C74" i="2"/>
  <c r="C73" i="2"/>
  <c r="C72" i="2" a="1"/>
  <c r="C72" i="2" s="1"/>
  <c r="C71" i="2" a="1"/>
  <c r="C71" i="2" s="1"/>
  <c r="C70" i="2"/>
  <c r="C69" i="2"/>
  <c r="C68" i="2"/>
  <c r="C66" i="2"/>
  <c r="A18" i="19" s="1"/>
  <c r="C65" i="2"/>
  <c r="C64" i="2"/>
  <c r="C63" i="2"/>
  <c r="C62" i="2"/>
  <c r="C61" i="2"/>
  <c r="C8" i="8" s="1"/>
  <c r="C49" i="2"/>
  <c r="C48" i="2"/>
  <c r="C47" i="2"/>
  <c r="C38" i="2"/>
  <c r="C36" i="2"/>
  <c r="C35" i="2"/>
  <c r="C43" i="2" a="1"/>
  <c r="C43" i="2" s="1"/>
  <c r="C42" i="2" a="1"/>
  <c r="C42" i="2" s="1"/>
  <c r="C41" i="2" a="1"/>
  <c r="C41" i="2" s="1"/>
  <c r="C34" i="2"/>
  <c r="C33" i="2"/>
  <c r="C32" i="2"/>
  <c r="C30" i="2"/>
  <c r="C29" i="2"/>
  <c r="C43" i="1" s="1"/>
  <c r="C20" i="2"/>
  <c r="B6" i="19" s="1"/>
  <c r="C18" i="2"/>
  <c r="C16" i="2"/>
  <c r="B5" i="19" s="1"/>
  <c r="C14" i="2"/>
  <c r="B4" i="19" s="1"/>
  <c r="C12" i="2"/>
  <c r="B3" i="19" s="1"/>
  <c r="C10" i="2"/>
  <c r="F8" i="19" s="1"/>
  <c r="E5" i="19" s="1"/>
  <c r="C9" i="2"/>
  <c r="F9" i="19" s="1"/>
  <c r="C7" i="2"/>
  <c r="A19" i="19" s="1"/>
  <c r="C6" i="2"/>
  <c r="C5" i="2"/>
  <c r="B13" i="19"/>
  <c r="B12" i="19"/>
  <c r="B11" i="19"/>
  <c r="B10" i="19"/>
  <c r="B9" i="19"/>
  <c r="B11" i="11"/>
  <c r="B58" i="1"/>
  <c r="B13" i="11"/>
  <c r="B12" i="11"/>
  <c r="F30" i="9"/>
  <c r="P4" i="17"/>
  <c r="A17" i="11" l="1"/>
  <c r="B138" i="13"/>
  <c r="B137" i="13"/>
  <c r="B18" i="9"/>
  <c r="D8" i="8"/>
  <c r="E8" i="8" s="1"/>
  <c r="B22" i="8"/>
  <c r="B18" i="8"/>
  <c r="C18" i="8" s="1"/>
  <c r="E18" i="8" s="1"/>
  <c r="A20" i="11"/>
  <c r="C11" i="8"/>
  <c r="H11" i="8"/>
  <c r="G5" i="19"/>
  <c r="F5" i="19"/>
  <c r="F6" i="19" s="1"/>
  <c r="F10" i="19"/>
  <c r="H4" i="19"/>
  <c r="H6" i="19"/>
  <c r="E4" i="19"/>
  <c r="E3" i="19"/>
  <c r="H3" i="19"/>
  <c r="H5" i="19"/>
  <c r="F8" i="8"/>
  <c r="B139" i="13"/>
  <c r="B140" i="13" s="1"/>
  <c r="B141" i="13" s="1"/>
  <c r="B142" i="13" s="1"/>
  <c r="P3" i="17"/>
  <c r="P2" i="17"/>
  <c r="P13" i="17"/>
  <c r="G14" i="17" s="1"/>
  <c r="R10" i="17"/>
  <c r="Q10" i="17"/>
  <c r="Q11" i="17" l="1"/>
  <c r="G3" i="19"/>
  <c r="F3" i="19"/>
  <c r="F4" i="19"/>
  <c r="G4" i="19"/>
  <c r="R11" i="17"/>
  <c r="P10" i="17" s="1"/>
  <c r="E14" i="17"/>
  <c r="C14" i="17" s="1"/>
  <c r="G16" i="17"/>
  <c r="I16" i="17" l="1"/>
  <c r="E16" i="17"/>
  <c r="C16" i="17" s="1"/>
  <c r="G4" i="17"/>
  <c r="K14" i="17" s="1"/>
  <c r="G6" i="17"/>
  <c r="G10" i="17"/>
  <c r="G12" i="17"/>
  <c r="G8" i="17"/>
  <c r="I14" i="17"/>
  <c r="K12" i="17" l="1"/>
  <c r="K6" i="17"/>
  <c r="K16" i="17"/>
  <c r="K8" i="17"/>
  <c r="E10" i="17"/>
  <c r="C10" i="17" s="1"/>
  <c r="K10" i="17"/>
  <c r="I6" i="17"/>
  <c r="E6" i="17"/>
  <c r="C6" i="17" s="1"/>
  <c r="I12" i="17"/>
  <c r="E12" i="17"/>
  <c r="C12" i="17" s="1"/>
  <c r="I8" i="17"/>
  <c r="E8" i="17"/>
  <c r="C8" i="17" s="1"/>
  <c r="I10" i="17"/>
  <c r="O32" i="9"/>
  <c r="J26" i="8"/>
  <c r="B3" i="8"/>
  <c r="C3" i="8" s="1"/>
  <c r="J3" i="8" s="1"/>
  <c r="AA20" i="3"/>
  <c r="AA22" i="3"/>
  <c r="AA21" i="3"/>
  <c r="B4" i="8"/>
  <c r="B134" i="13"/>
  <c r="B135" i="13"/>
  <c r="B133" i="13"/>
  <c r="B20" i="9"/>
  <c r="AD14" i="1"/>
  <c r="D12" i="9"/>
  <c r="F9" i="11"/>
  <c r="A19" i="11"/>
  <c r="A18" i="11"/>
  <c r="B10" i="9"/>
  <c r="E9" i="9"/>
  <c r="G9" i="9" s="1"/>
  <c r="E10" i="9"/>
  <c r="H10" i="9" s="1"/>
  <c r="E11" i="9"/>
  <c r="E8" i="9"/>
  <c r="C4" i="8" l="1"/>
  <c r="J4" i="8" s="1"/>
  <c r="G12" i="9"/>
  <c r="O12" i="9" s="1"/>
  <c r="G10" i="9"/>
  <c r="G11" i="9"/>
  <c r="O9" i="9" s="1"/>
  <c r="F3" i="13"/>
  <c r="H3" i="13"/>
  <c r="I3" i="13"/>
  <c r="K3" i="13"/>
  <c r="J7" i="8"/>
  <c r="B20" i="8"/>
  <c r="S15" i="3"/>
  <c r="E11" i="8"/>
  <c r="B10" i="11"/>
  <c r="B14" i="11"/>
  <c r="B15" i="11"/>
  <c r="E3" i="11"/>
  <c r="F10" i="11"/>
  <c r="F11" i="11" s="1"/>
  <c r="B7" i="11"/>
  <c r="B6" i="11"/>
  <c r="B5" i="11"/>
  <c r="B4" i="11"/>
  <c r="B3" i="11"/>
  <c r="C4" i="11"/>
  <c r="C5" i="11"/>
  <c r="C6" i="11"/>
  <c r="C7" i="11"/>
  <c r="C3" i="11"/>
  <c r="O29" i="9"/>
  <c r="O7" i="9"/>
  <c r="B8" i="8"/>
  <c r="J8" i="8" s="1"/>
  <c r="I14" i="8"/>
  <c r="B2" i="8"/>
  <c r="J2" i="8" s="1"/>
  <c r="B1" i="8"/>
  <c r="J1" i="8" s="1"/>
  <c r="A123" i="13"/>
  <c r="B123" i="13" s="1"/>
  <c r="H122" i="13" s="1"/>
  <c r="J11" i="8" l="1"/>
  <c r="E6" i="11"/>
  <c r="B16" i="9"/>
  <c r="B15" i="9"/>
  <c r="C18" i="9"/>
  <c r="C3" i="13"/>
  <c r="C6" i="13"/>
  <c r="C9" i="13"/>
  <c r="C12" i="13"/>
  <c r="C15" i="13"/>
  <c r="C18" i="13"/>
  <c r="C21" i="13"/>
  <c r="C24" i="13"/>
  <c r="C27" i="13"/>
  <c r="C30" i="13"/>
  <c r="C33" i="13"/>
  <c r="C36" i="13"/>
  <c r="C39" i="13"/>
  <c r="C42" i="13"/>
  <c r="C45" i="13"/>
  <c r="C48" i="13"/>
  <c r="C51" i="13"/>
  <c r="C54" i="13"/>
  <c r="C57" i="13"/>
  <c r="C60" i="13"/>
  <c r="C63" i="13"/>
  <c r="C66" i="13"/>
  <c r="C69" i="13"/>
  <c r="C72" i="13"/>
  <c r="C75" i="13"/>
  <c r="C78" i="13"/>
  <c r="C81" i="13"/>
  <c r="C84" i="13"/>
  <c r="C87" i="13"/>
  <c r="C90" i="13"/>
  <c r="C93" i="13"/>
  <c r="C96" i="13"/>
  <c r="C99" i="13"/>
  <c r="C102" i="13"/>
  <c r="C105" i="13"/>
  <c r="C108" i="13"/>
  <c r="C111" i="13"/>
  <c r="C114" i="13"/>
  <c r="A117" i="13"/>
  <c r="C117" i="13"/>
  <c r="I117" i="13" s="1"/>
  <c r="F2" i="13"/>
  <c r="N31" i="9"/>
  <c r="N32" i="9"/>
  <c r="N33" i="9"/>
  <c r="N34" i="9"/>
  <c r="N35" i="9"/>
  <c r="N36" i="9"/>
  <c r="N37" i="9"/>
  <c r="A124" i="13"/>
  <c r="C120" i="13"/>
  <c r="D120" i="13" s="1"/>
  <c r="J120" i="13" s="1"/>
  <c r="B30" i="9"/>
  <c r="B25" i="9"/>
  <c r="B28" i="9"/>
  <c r="AC28" i="1"/>
  <c r="AA28" i="1"/>
  <c r="Z28" i="1"/>
  <c r="B5" i="9"/>
  <c r="O5" i="9" s="1"/>
  <c r="B6" i="9"/>
  <c r="O6" i="9" s="1"/>
  <c r="B15" i="8"/>
  <c r="B13" i="8"/>
  <c r="J13" i="8" s="1"/>
  <c r="B12" i="8"/>
  <c r="J12" i="8" s="1"/>
  <c r="C22" i="8"/>
  <c r="B13" i="9"/>
  <c r="O13" i="9" s="1"/>
  <c r="F4" i="9"/>
  <c r="A1" i="10"/>
  <c r="A12" i="10"/>
  <c r="A11" i="10"/>
  <c r="A10" i="10"/>
  <c r="A9" i="10"/>
  <c r="A8" i="10"/>
  <c r="A7" i="10"/>
  <c r="A6" i="10"/>
  <c r="A5" i="10"/>
  <c r="A4" i="10"/>
  <c r="A3" i="10"/>
  <c r="A2" i="10"/>
  <c r="A121" i="10"/>
  <c r="A119" i="10"/>
  <c r="A117" i="10"/>
  <c r="A111" i="10"/>
  <c r="A100" i="10"/>
  <c r="A110" i="10"/>
  <c r="A99" i="10"/>
  <c r="A88" i="10"/>
  <c r="A77" i="10"/>
  <c r="A66" i="10"/>
  <c r="A55" i="10"/>
  <c r="A44" i="10"/>
  <c r="A33" i="10"/>
  <c r="A32" i="10"/>
  <c r="A22" i="10"/>
  <c r="A120" i="10"/>
  <c r="A118" i="10"/>
  <c r="A116" i="10"/>
  <c r="A115" i="10"/>
  <c r="A114" i="10"/>
  <c r="A113" i="10"/>
  <c r="A112" i="10"/>
  <c r="A109" i="10"/>
  <c r="A108" i="10"/>
  <c r="A107" i="10"/>
  <c r="A106" i="10"/>
  <c r="A105" i="10"/>
  <c r="A104" i="10"/>
  <c r="A103" i="10"/>
  <c r="A102" i="10"/>
  <c r="A101" i="10"/>
  <c r="A98" i="10"/>
  <c r="A97" i="10"/>
  <c r="A96" i="10"/>
  <c r="A95" i="10"/>
  <c r="A94" i="10"/>
  <c r="A93" i="10"/>
  <c r="A92" i="10"/>
  <c r="A91" i="10"/>
  <c r="A90" i="10"/>
  <c r="A89" i="10"/>
  <c r="A87" i="10"/>
  <c r="A86" i="10"/>
  <c r="A85" i="10"/>
  <c r="A84" i="10"/>
  <c r="A83" i="10"/>
  <c r="A82" i="10"/>
  <c r="A81" i="10"/>
  <c r="A80" i="10"/>
  <c r="A79" i="10"/>
  <c r="A78" i="10"/>
  <c r="A76" i="10"/>
  <c r="A75" i="10"/>
  <c r="A74" i="10"/>
  <c r="A73" i="10"/>
  <c r="A72" i="10"/>
  <c r="A71" i="10"/>
  <c r="A70" i="10"/>
  <c r="A69" i="10"/>
  <c r="A68" i="10"/>
  <c r="A67" i="10"/>
  <c r="A65" i="10"/>
  <c r="A64" i="10"/>
  <c r="D114" i="10" a="1"/>
  <c r="D114" i="10" s="1"/>
  <c r="E114" i="10" s="1"/>
  <c r="F114" i="10" s="1"/>
  <c r="D115" i="10" a="1"/>
  <c r="D115" i="10" s="1"/>
  <c r="E115" i="10" s="1"/>
  <c r="F115" i="10" s="1"/>
  <c r="D116" i="10" a="1"/>
  <c r="D116" i="10" s="1"/>
  <c r="E116" i="10" s="1"/>
  <c r="F116" i="10" s="1"/>
  <c r="G116" i="10" s="1"/>
  <c r="D117" i="10" a="1"/>
  <c r="D117" i="10" s="1"/>
  <c r="E117" i="10" s="1"/>
  <c r="F117" i="10" s="1"/>
  <c r="G117" i="10" s="1"/>
  <c r="D118" i="10" a="1"/>
  <c r="D118" i="10" s="1"/>
  <c r="E118" i="10" s="1"/>
  <c r="F118" i="10" s="1"/>
  <c r="G118" i="10" s="1"/>
  <c r="D119" i="10" a="1"/>
  <c r="D119" i="10" s="1"/>
  <c r="E119" i="10" s="1"/>
  <c r="F119" i="10" s="1"/>
  <c r="G119" i="10" s="1"/>
  <c r="D120" i="10" a="1"/>
  <c r="D120" i="10" s="1"/>
  <c r="E120" i="10" s="1"/>
  <c r="F120" i="10" s="1"/>
  <c r="D121" i="10" a="1"/>
  <c r="D121" i="10" s="1"/>
  <c r="E121" i="10" s="1"/>
  <c r="F121" i="10" s="1"/>
  <c r="D122" i="10" a="1"/>
  <c r="D122" i="10" s="1"/>
  <c r="D123" i="10" a="1"/>
  <c r="D123" i="10" s="1"/>
  <c r="D124" i="10" a="1"/>
  <c r="D124" i="10" s="1"/>
  <c r="D125" i="10" a="1"/>
  <c r="D125" i="10" s="1"/>
  <c r="D126" i="10" a="1"/>
  <c r="D126" i="10" s="1"/>
  <c r="D127" i="10" a="1"/>
  <c r="D127" i="10" s="1"/>
  <c r="D128" i="10" a="1"/>
  <c r="D128" i="10" s="1"/>
  <c r="D129" i="10" a="1"/>
  <c r="D129" i="10" s="1"/>
  <c r="D130" i="10" a="1"/>
  <c r="D130" i="10" s="1"/>
  <c r="D131" i="10" a="1"/>
  <c r="D131" i="10" s="1"/>
  <c r="D132" i="10" a="1"/>
  <c r="D132" i="10" s="1"/>
  <c r="D133" i="10" a="1"/>
  <c r="D133" i="10" s="1"/>
  <c r="D96" i="10" a="1"/>
  <c r="D96" i="10" s="1"/>
  <c r="E96" i="10" s="1"/>
  <c r="F96" i="10" s="1"/>
  <c r="G96" i="10" s="1"/>
  <c r="D97" i="10" a="1"/>
  <c r="D97" i="10" s="1"/>
  <c r="E97" i="10" s="1"/>
  <c r="F97" i="10" s="1"/>
  <c r="G97" i="10" s="1"/>
  <c r="D98" i="10" a="1"/>
  <c r="D98" i="10" s="1"/>
  <c r="E98" i="10" s="1"/>
  <c r="F98" i="10" s="1"/>
  <c r="G98" i="10" s="1"/>
  <c r="D99" i="10" a="1"/>
  <c r="D99" i="10" s="1"/>
  <c r="E99" i="10" s="1"/>
  <c r="F99" i="10" s="1"/>
  <c r="G99" i="10" s="1"/>
  <c r="D100" i="10" a="1"/>
  <c r="D100" i="10" s="1"/>
  <c r="E100" i="10" s="1"/>
  <c r="F100" i="10" s="1"/>
  <c r="G100" i="10" s="1"/>
  <c r="D101" i="10" a="1"/>
  <c r="D101" i="10" s="1"/>
  <c r="E101" i="10" s="1"/>
  <c r="F101" i="10" s="1"/>
  <c r="G101" i="10" s="1"/>
  <c r="D102" i="10" a="1"/>
  <c r="D102" i="10" s="1"/>
  <c r="E102" i="10" s="1"/>
  <c r="F102" i="10" s="1"/>
  <c r="G102" i="10" s="1"/>
  <c r="D103" i="10" a="1"/>
  <c r="D103" i="10" s="1"/>
  <c r="E103" i="10" s="1"/>
  <c r="F103" i="10" s="1"/>
  <c r="G103" i="10" s="1"/>
  <c r="D104" i="10" a="1"/>
  <c r="D104" i="10" s="1"/>
  <c r="E104" i="10" s="1"/>
  <c r="F104" i="10" s="1"/>
  <c r="G104" i="10" s="1"/>
  <c r="D105" i="10" a="1"/>
  <c r="D105" i="10" s="1"/>
  <c r="E105" i="10" s="1"/>
  <c r="F105" i="10" s="1"/>
  <c r="G105" i="10" s="1"/>
  <c r="D106" i="10" a="1"/>
  <c r="D106" i="10" s="1"/>
  <c r="E106" i="10" s="1"/>
  <c r="F106" i="10" s="1"/>
  <c r="G106" i="10" s="1"/>
  <c r="D107" i="10" a="1"/>
  <c r="D107" i="10" s="1"/>
  <c r="E107" i="10" s="1"/>
  <c r="F107" i="10" s="1"/>
  <c r="G107" i="10" s="1"/>
  <c r="D108" i="10" a="1"/>
  <c r="D108" i="10" s="1"/>
  <c r="E108" i="10" s="1"/>
  <c r="F108" i="10" s="1"/>
  <c r="G108" i="10" s="1"/>
  <c r="D109" i="10" a="1"/>
  <c r="D109" i="10" s="1"/>
  <c r="E109" i="10" s="1"/>
  <c r="F109" i="10" s="1"/>
  <c r="G109" i="10" s="1"/>
  <c r="D110" i="10" a="1"/>
  <c r="D110" i="10" s="1"/>
  <c r="E110" i="10" s="1"/>
  <c r="F110" i="10" s="1"/>
  <c r="G110" i="10" s="1"/>
  <c r="D111" i="10" a="1"/>
  <c r="D111" i="10" s="1"/>
  <c r="E111" i="10" s="1"/>
  <c r="F111" i="10" s="1"/>
  <c r="D112" i="10" a="1"/>
  <c r="D112" i="10" s="1"/>
  <c r="E112" i="10" s="1"/>
  <c r="F112" i="10" s="1"/>
  <c r="G112" i="10" s="1"/>
  <c r="D113" i="10" a="1"/>
  <c r="D113" i="10" s="1"/>
  <c r="E113" i="10" s="1"/>
  <c r="F113" i="10" s="1"/>
  <c r="G113" i="10" s="1"/>
  <c r="D76" i="10" a="1"/>
  <c r="D76" i="10" s="1"/>
  <c r="E76" i="10" s="1"/>
  <c r="F76" i="10" s="1"/>
  <c r="G76" i="10" s="1"/>
  <c r="D77" i="10" a="1"/>
  <c r="D77" i="10" s="1"/>
  <c r="E77" i="10" s="1"/>
  <c r="F77" i="10" s="1"/>
  <c r="G77" i="10" s="1"/>
  <c r="D78" i="10" a="1"/>
  <c r="D78" i="10" s="1"/>
  <c r="E78" i="10" s="1"/>
  <c r="F78" i="10" s="1"/>
  <c r="G78" i="10" s="1"/>
  <c r="D79" i="10" a="1"/>
  <c r="D79" i="10" s="1"/>
  <c r="E79" i="10" s="1"/>
  <c r="F79" i="10" s="1"/>
  <c r="G79" i="10" s="1"/>
  <c r="D80" i="10" a="1"/>
  <c r="D80" i="10" s="1"/>
  <c r="E80" i="10" s="1"/>
  <c r="F80" i="10" s="1"/>
  <c r="G80" i="10" s="1"/>
  <c r="D81" i="10" a="1"/>
  <c r="D81" i="10" s="1"/>
  <c r="E81" i="10" s="1"/>
  <c r="F81" i="10" s="1"/>
  <c r="G81" i="10" s="1"/>
  <c r="D82" i="10" a="1"/>
  <c r="D82" i="10" s="1"/>
  <c r="E82" i="10" s="1"/>
  <c r="F82" i="10" s="1"/>
  <c r="G82" i="10" s="1"/>
  <c r="D83" i="10" a="1"/>
  <c r="D83" i="10" s="1"/>
  <c r="E83" i="10" s="1"/>
  <c r="F83" i="10" s="1"/>
  <c r="G83" i="10" s="1"/>
  <c r="D84" i="10" a="1"/>
  <c r="D84" i="10" s="1"/>
  <c r="E84" i="10" s="1"/>
  <c r="F84" i="10" s="1"/>
  <c r="G84" i="10" s="1"/>
  <c r="D85" i="10" a="1"/>
  <c r="D85" i="10" s="1"/>
  <c r="E85" i="10" s="1"/>
  <c r="F85" i="10" s="1"/>
  <c r="G85" i="10" s="1"/>
  <c r="D86" i="10" a="1"/>
  <c r="D86" i="10" s="1"/>
  <c r="E86" i="10" s="1"/>
  <c r="F86" i="10" s="1"/>
  <c r="G86" i="10" s="1"/>
  <c r="D87" i="10" a="1"/>
  <c r="D87" i="10" s="1"/>
  <c r="E87" i="10" s="1"/>
  <c r="F87" i="10" s="1"/>
  <c r="G87" i="10" s="1"/>
  <c r="D88" i="10" a="1"/>
  <c r="D88" i="10" s="1"/>
  <c r="E88" i="10" s="1"/>
  <c r="F88" i="10" s="1"/>
  <c r="G88" i="10" s="1"/>
  <c r="D89" i="10" a="1"/>
  <c r="D89" i="10" s="1"/>
  <c r="E89" i="10" s="1"/>
  <c r="F89" i="10" s="1"/>
  <c r="G89" i="10" s="1"/>
  <c r="D90" i="10" a="1"/>
  <c r="D90" i="10" s="1"/>
  <c r="E90" i="10" s="1"/>
  <c r="F90" i="10" s="1"/>
  <c r="G90" i="10" s="1"/>
  <c r="D91" i="10" a="1"/>
  <c r="D91" i="10" s="1"/>
  <c r="E91" i="10" s="1"/>
  <c r="F91" i="10" s="1"/>
  <c r="G91" i="10" s="1"/>
  <c r="D92" i="10" a="1"/>
  <c r="D92" i="10" s="1"/>
  <c r="E92" i="10" s="1"/>
  <c r="F92" i="10" s="1"/>
  <c r="G92" i="10" s="1"/>
  <c r="D93" i="10" a="1"/>
  <c r="D93" i="10" s="1"/>
  <c r="E93" i="10" s="1"/>
  <c r="F93" i="10" s="1"/>
  <c r="G93" i="10" s="1"/>
  <c r="D94" i="10" a="1"/>
  <c r="D94" i="10" s="1"/>
  <c r="E94" i="10" s="1"/>
  <c r="F94" i="10" s="1"/>
  <c r="G94" i="10" s="1"/>
  <c r="D95" i="10" a="1"/>
  <c r="D95" i="10" s="1"/>
  <c r="E95" i="10" s="1"/>
  <c r="F95" i="10" s="1"/>
  <c r="G95" i="10" s="1"/>
  <c r="D1" i="10" a="1"/>
  <c r="D1" i="10" s="1"/>
  <c r="D30" i="9" l="1"/>
  <c r="I30" i="9"/>
  <c r="F117" i="13"/>
  <c r="H117" i="13"/>
  <c r="K120" i="13" s="1"/>
  <c r="K117" i="13"/>
  <c r="B117" i="13"/>
  <c r="G117" i="13" s="1"/>
  <c r="K30" i="9"/>
  <c r="E22" i="8"/>
  <c r="I22" i="8" s="1"/>
  <c r="J22" i="8" s="1"/>
  <c r="B114" i="13"/>
  <c r="G114" i="13" s="1"/>
  <c r="B60" i="13"/>
  <c r="B6" i="13"/>
  <c r="B78" i="13"/>
  <c r="B24" i="13"/>
  <c r="B81" i="13"/>
  <c r="B99" i="13"/>
  <c r="B45" i="13"/>
  <c r="B26" i="9"/>
  <c r="B96" i="13"/>
  <c r="B42" i="13"/>
  <c r="B27" i="13"/>
  <c r="B63" i="13"/>
  <c r="B9" i="13"/>
  <c r="B111" i="13"/>
  <c r="B93" i="13"/>
  <c r="B75" i="13"/>
  <c r="B57" i="13"/>
  <c r="B39" i="13"/>
  <c r="B21" i="13"/>
  <c r="B3" i="13"/>
  <c r="C22" i="9"/>
  <c r="B90" i="13"/>
  <c r="B105" i="13"/>
  <c r="B87" i="13"/>
  <c r="B69" i="13"/>
  <c r="B51" i="13"/>
  <c r="B33" i="13"/>
  <c r="B15" i="13"/>
  <c r="B108" i="13"/>
  <c r="B72" i="13"/>
  <c r="B54" i="13"/>
  <c r="B36" i="13"/>
  <c r="B18" i="13"/>
  <c r="B102" i="13"/>
  <c r="B84" i="13"/>
  <c r="B66" i="13"/>
  <c r="B48" i="13"/>
  <c r="B30" i="13"/>
  <c r="B12" i="13"/>
  <c r="B124" i="13"/>
  <c r="K122" i="13" s="1"/>
  <c r="E18" i="9"/>
  <c r="N18" i="9" s="1"/>
  <c r="O18" i="9" s="1"/>
  <c r="D117" i="13"/>
  <c r="J117" i="13" s="1"/>
  <c r="A114" i="13"/>
  <c r="F120" i="13"/>
  <c r="I120" i="13"/>
  <c r="I18" i="8"/>
  <c r="J18" i="8" s="1"/>
  <c r="G121" i="10"/>
  <c r="G120" i="10"/>
  <c r="G115" i="10"/>
  <c r="G114" i="10"/>
  <c r="G111" i="10"/>
  <c r="D2" i="10" a="1"/>
  <c r="D2" i="10" s="1"/>
  <c r="E2" i="10" s="1"/>
  <c r="F2" i="10" s="1"/>
  <c r="G2" i="10" s="1"/>
  <c r="D3" i="10" a="1"/>
  <c r="D3" i="10" s="1"/>
  <c r="E3" i="10" s="1"/>
  <c r="F3" i="10" s="1"/>
  <c r="G3" i="10" s="1"/>
  <c r="D4" i="10" a="1"/>
  <c r="D4" i="10" s="1"/>
  <c r="E4" i="10" s="1"/>
  <c r="F4" i="10" s="1"/>
  <c r="G4" i="10" s="1"/>
  <c r="D5" i="10" a="1"/>
  <c r="D5" i="10" s="1"/>
  <c r="E5" i="10" s="1"/>
  <c r="F5" i="10" s="1"/>
  <c r="G5" i="10" s="1"/>
  <c r="D6" i="10" a="1"/>
  <c r="D6" i="10" s="1"/>
  <c r="E6" i="10" s="1"/>
  <c r="F6" i="10" s="1"/>
  <c r="G6" i="10" s="1"/>
  <c r="D7" i="10" a="1"/>
  <c r="D7" i="10" s="1"/>
  <c r="E7" i="10" s="1"/>
  <c r="F7" i="10" s="1"/>
  <c r="G7" i="10" s="1"/>
  <c r="D8" i="10" a="1"/>
  <c r="D8" i="10" s="1"/>
  <c r="E8" i="10" s="1"/>
  <c r="F8" i="10" s="1"/>
  <c r="G8" i="10" s="1"/>
  <c r="D9" i="10" a="1"/>
  <c r="D9" i="10" s="1"/>
  <c r="E9" i="10" s="1"/>
  <c r="F9" i="10" s="1"/>
  <c r="G9" i="10" s="1"/>
  <c r="D10" i="10" a="1"/>
  <c r="D10" i="10" s="1"/>
  <c r="E10" i="10" s="1"/>
  <c r="F10" i="10" s="1"/>
  <c r="G10" i="10" s="1"/>
  <c r="D11" i="10" a="1"/>
  <c r="D11" i="10" s="1"/>
  <c r="E11" i="10" s="1"/>
  <c r="F11" i="10" s="1"/>
  <c r="G11" i="10" s="1"/>
  <c r="D12" i="10" a="1"/>
  <c r="D12" i="10" s="1"/>
  <c r="E12" i="10" s="1"/>
  <c r="F12" i="10" s="1"/>
  <c r="G12" i="10" s="1"/>
  <c r="D13" i="10" a="1"/>
  <c r="D13" i="10" s="1"/>
  <c r="E13" i="10" s="1"/>
  <c r="F13" i="10" s="1"/>
  <c r="G13" i="10" s="1"/>
  <c r="D14" i="10" a="1"/>
  <c r="D14" i="10" s="1"/>
  <c r="E14" i="10" s="1"/>
  <c r="F14" i="10" s="1"/>
  <c r="G14" i="10" s="1"/>
  <c r="D15" i="10" a="1"/>
  <c r="D15" i="10" s="1"/>
  <c r="E15" i="10" s="1"/>
  <c r="F15" i="10" s="1"/>
  <c r="G15" i="10" s="1"/>
  <c r="D16" i="10" a="1"/>
  <c r="D16" i="10" s="1"/>
  <c r="E16" i="10" s="1"/>
  <c r="F16" i="10" s="1"/>
  <c r="G16" i="10" s="1"/>
  <c r="D17" i="10" a="1"/>
  <c r="D17" i="10" s="1"/>
  <c r="E17" i="10" s="1"/>
  <c r="F17" i="10" s="1"/>
  <c r="G17" i="10" s="1"/>
  <c r="D18" i="10" a="1"/>
  <c r="D18" i="10" s="1"/>
  <c r="E18" i="10" s="1"/>
  <c r="F18" i="10" s="1"/>
  <c r="G18" i="10" s="1"/>
  <c r="D19" i="10" a="1"/>
  <c r="D19" i="10" s="1"/>
  <c r="E19" i="10" s="1"/>
  <c r="F19" i="10" s="1"/>
  <c r="G19" i="10" s="1"/>
  <c r="D20" i="10" a="1"/>
  <c r="D20" i="10" s="1"/>
  <c r="E20" i="10" s="1"/>
  <c r="F20" i="10" s="1"/>
  <c r="G20" i="10" s="1"/>
  <c r="D21" i="10" a="1"/>
  <c r="D21" i="10" s="1"/>
  <c r="E21" i="10" s="1"/>
  <c r="F21" i="10" s="1"/>
  <c r="G21" i="10" s="1"/>
  <c r="D22" i="10" a="1"/>
  <c r="D22" i="10" s="1"/>
  <c r="E22" i="10" s="1"/>
  <c r="F22" i="10" s="1"/>
  <c r="G22" i="10" s="1"/>
  <c r="D23" i="10" a="1"/>
  <c r="D23" i="10" s="1"/>
  <c r="E23" i="10" s="1"/>
  <c r="F23" i="10" s="1"/>
  <c r="G23" i="10" s="1"/>
  <c r="D24" i="10" a="1"/>
  <c r="D24" i="10" s="1"/>
  <c r="E24" i="10" s="1"/>
  <c r="F24" i="10" s="1"/>
  <c r="G24" i="10" s="1"/>
  <c r="D25" i="10" a="1"/>
  <c r="D25" i="10" s="1"/>
  <c r="E25" i="10" s="1"/>
  <c r="F25" i="10" s="1"/>
  <c r="G25" i="10" s="1"/>
  <c r="D26" i="10" a="1"/>
  <c r="D26" i="10" s="1"/>
  <c r="E26" i="10" s="1"/>
  <c r="F26" i="10" s="1"/>
  <c r="G26" i="10" s="1"/>
  <c r="D27" i="10" a="1"/>
  <c r="D27" i="10" s="1"/>
  <c r="E27" i="10" s="1"/>
  <c r="F27" i="10" s="1"/>
  <c r="G27" i="10" s="1"/>
  <c r="D28" i="10" a="1"/>
  <c r="D28" i="10" s="1"/>
  <c r="E28" i="10" s="1"/>
  <c r="F28" i="10" s="1"/>
  <c r="G28" i="10" s="1"/>
  <c r="D29" i="10" a="1"/>
  <c r="D29" i="10" s="1"/>
  <c r="E29" i="10" s="1"/>
  <c r="F29" i="10" s="1"/>
  <c r="G29" i="10" s="1"/>
  <c r="D30" i="10" a="1"/>
  <c r="D30" i="10" s="1"/>
  <c r="E30" i="10" s="1"/>
  <c r="F30" i="10" s="1"/>
  <c r="G30" i="10" s="1"/>
  <c r="D31" i="10" a="1"/>
  <c r="D31" i="10" s="1"/>
  <c r="E31" i="10" s="1"/>
  <c r="F31" i="10" s="1"/>
  <c r="G31" i="10" s="1"/>
  <c r="D32" i="10" a="1"/>
  <c r="D32" i="10" s="1"/>
  <c r="E32" i="10" s="1"/>
  <c r="F32" i="10" s="1"/>
  <c r="G32" i="10" s="1"/>
  <c r="D33" i="10" a="1"/>
  <c r="D33" i="10" s="1"/>
  <c r="E33" i="10" s="1"/>
  <c r="F33" i="10" s="1"/>
  <c r="G33" i="10" s="1"/>
  <c r="D34" i="10" a="1"/>
  <c r="D34" i="10" s="1"/>
  <c r="E34" i="10" s="1"/>
  <c r="F34" i="10" s="1"/>
  <c r="G34" i="10" s="1"/>
  <c r="D35" i="10" a="1"/>
  <c r="D35" i="10" s="1"/>
  <c r="E35" i="10" s="1"/>
  <c r="F35" i="10" s="1"/>
  <c r="G35" i="10" s="1"/>
  <c r="D36" i="10" a="1"/>
  <c r="D36" i="10" s="1"/>
  <c r="E36" i="10" s="1"/>
  <c r="F36" i="10" s="1"/>
  <c r="G36" i="10" s="1"/>
  <c r="D37" i="10" a="1"/>
  <c r="D37" i="10" s="1"/>
  <c r="E37" i="10" s="1"/>
  <c r="F37" i="10" s="1"/>
  <c r="G37" i="10" s="1"/>
  <c r="D38" i="10" a="1"/>
  <c r="D38" i="10" s="1"/>
  <c r="E38" i="10" s="1"/>
  <c r="F38" i="10" s="1"/>
  <c r="G38" i="10" s="1"/>
  <c r="D39" i="10" a="1"/>
  <c r="D39" i="10" s="1"/>
  <c r="E39" i="10" s="1"/>
  <c r="F39" i="10" s="1"/>
  <c r="G39" i="10" s="1"/>
  <c r="D40" i="10" a="1"/>
  <c r="D40" i="10" s="1"/>
  <c r="E40" i="10" s="1"/>
  <c r="F40" i="10" s="1"/>
  <c r="G40" i="10" s="1"/>
  <c r="D41" i="10" a="1"/>
  <c r="D41" i="10" s="1"/>
  <c r="E41" i="10" s="1"/>
  <c r="F41" i="10" s="1"/>
  <c r="G41" i="10" s="1"/>
  <c r="D42" i="10" a="1"/>
  <c r="D42" i="10" s="1"/>
  <c r="E42" i="10" s="1"/>
  <c r="F42" i="10" s="1"/>
  <c r="G42" i="10" s="1"/>
  <c r="D43" i="10" a="1"/>
  <c r="D43" i="10" s="1"/>
  <c r="E43" i="10" s="1"/>
  <c r="F43" i="10" s="1"/>
  <c r="G43" i="10" s="1"/>
  <c r="D44" i="10" a="1"/>
  <c r="D44" i="10" s="1"/>
  <c r="E44" i="10" s="1"/>
  <c r="F44" i="10" s="1"/>
  <c r="G44" i="10" s="1"/>
  <c r="D45" i="10" a="1"/>
  <c r="D45" i="10" s="1"/>
  <c r="E45" i="10" s="1"/>
  <c r="F45" i="10" s="1"/>
  <c r="G45" i="10" s="1"/>
  <c r="D46" i="10" a="1"/>
  <c r="D46" i="10" s="1"/>
  <c r="E46" i="10" s="1"/>
  <c r="F46" i="10" s="1"/>
  <c r="G46" i="10" s="1"/>
  <c r="D47" i="10" a="1"/>
  <c r="D47" i="10" s="1"/>
  <c r="E47" i="10" s="1"/>
  <c r="F47" i="10" s="1"/>
  <c r="G47" i="10" s="1"/>
  <c r="D48" i="10" a="1"/>
  <c r="D48" i="10" s="1"/>
  <c r="E48" i="10" s="1"/>
  <c r="F48" i="10" s="1"/>
  <c r="G48" i="10" s="1"/>
  <c r="D49" i="10" a="1"/>
  <c r="D49" i="10" s="1"/>
  <c r="E49" i="10" s="1"/>
  <c r="F49" i="10" s="1"/>
  <c r="G49" i="10" s="1"/>
  <c r="D50" i="10" a="1"/>
  <c r="D50" i="10" s="1"/>
  <c r="D51" i="10" a="1"/>
  <c r="D51" i="10" s="1"/>
  <c r="E51" i="10" s="1"/>
  <c r="F51" i="10" s="1"/>
  <c r="G51" i="10" s="1"/>
  <c r="D52" i="10" a="1"/>
  <c r="D52" i="10" s="1"/>
  <c r="E52" i="10" s="1"/>
  <c r="F52" i="10" s="1"/>
  <c r="G52" i="10" s="1"/>
  <c r="D53" i="10" a="1"/>
  <c r="D53" i="10" s="1"/>
  <c r="E53" i="10" s="1"/>
  <c r="F53" i="10" s="1"/>
  <c r="G53" i="10" s="1"/>
  <c r="D54" i="10" a="1"/>
  <c r="D54" i="10" s="1"/>
  <c r="E54" i="10" s="1"/>
  <c r="F54" i="10" s="1"/>
  <c r="G54" i="10" s="1"/>
  <c r="D55" i="10" a="1"/>
  <c r="D55" i="10" s="1"/>
  <c r="E55" i="10" s="1"/>
  <c r="F55" i="10" s="1"/>
  <c r="G55" i="10" s="1"/>
  <c r="D56" i="10" a="1"/>
  <c r="D56" i="10" s="1"/>
  <c r="E56" i="10" s="1"/>
  <c r="F56" i="10" s="1"/>
  <c r="G56" i="10" s="1"/>
  <c r="D57" i="10" a="1"/>
  <c r="D57" i="10" s="1"/>
  <c r="E57" i="10" s="1"/>
  <c r="F57" i="10" s="1"/>
  <c r="G57" i="10" s="1"/>
  <c r="D58" i="10" a="1"/>
  <c r="D58" i="10" s="1"/>
  <c r="E58" i="10" s="1"/>
  <c r="F58" i="10" s="1"/>
  <c r="G58" i="10" s="1"/>
  <c r="D59" i="10" a="1"/>
  <c r="D59" i="10" s="1"/>
  <c r="E59" i="10" s="1"/>
  <c r="F59" i="10" s="1"/>
  <c r="G59" i="10" s="1"/>
  <c r="D60" i="10" a="1"/>
  <c r="D60" i="10" s="1"/>
  <c r="E60" i="10" s="1"/>
  <c r="F60" i="10" s="1"/>
  <c r="G60" i="10" s="1"/>
  <c r="D61" i="10" a="1"/>
  <c r="D61" i="10" s="1"/>
  <c r="E61" i="10" s="1"/>
  <c r="F61" i="10" s="1"/>
  <c r="G61" i="10" s="1"/>
  <c r="D62" i="10" a="1"/>
  <c r="D62" i="10" s="1"/>
  <c r="E62" i="10" s="1"/>
  <c r="F62" i="10" s="1"/>
  <c r="G62" i="10" s="1"/>
  <c r="D63" i="10" a="1"/>
  <c r="D63" i="10" s="1"/>
  <c r="E63" i="10" s="1"/>
  <c r="D64" i="10" a="1"/>
  <c r="D64" i="10" s="1"/>
  <c r="E64" i="10" s="1"/>
  <c r="F64" i="10" s="1"/>
  <c r="G64" i="10" s="1"/>
  <c r="D65" i="10" a="1"/>
  <c r="D65" i="10" s="1"/>
  <c r="E65" i="10" s="1"/>
  <c r="F65" i="10" s="1"/>
  <c r="G65" i="10" s="1"/>
  <c r="D66" i="10" a="1"/>
  <c r="D66" i="10" s="1"/>
  <c r="E66" i="10" s="1"/>
  <c r="F66" i="10" s="1"/>
  <c r="G66" i="10" s="1"/>
  <c r="D67" i="10" a="1"/>
  <c r="D67" i="10" s="1"/>
  <c r="E67" i="10" s="1"/>
  <c r="F67" i="10" s="1"/>
  <c r="G67" i="10" s="1"/>
  <c r="D68" i="10" a="1"/>
  <c r="D68" i="10" s="1"/>
  <c r="E68" i="10" s="1"/>
  <c r="F68" i="10" s="1"/>
  <c r="G68" i="10" s="1"/>
  <c r="D69" i="10" a="1"/>
  <c r="D69" i="10" s="1"/>
  <c r="E69" i="10" s="1"/>
  <c r="F69" i="10" s="1"/>
  <c r="G69" i="10" s="1"/>
  <c r="D70" i="10" a="1"/>
  <c r="D70" i="10" s="1"/>
  <c r="E70" i="10" s="1"/>
  <c r="F70" i="10" s="1"/>
  <c r="G70" i="10" s="1"/>
  <c r="D71" i="10" a="1"/>
  <c r="D71" i="10" s="1"/>
  <c r="E71" i="10" s="1"/>
  <c r="F71" i="10" s="1"/>
  <c r="G71" i="10" s="1"/>
  <c r="D72" i="10" a="1"/>
  <c r="D72" i="10" s="1"/>
  <c r="E72" i="10" s="1"/>
  <c r="F72" i="10" s="1"/>
  <c r="G72" i="10" s="1"/>
  <c r="D73" i="10" a="1"/>
  <c r="D73" i="10" s="1"/>
  <c r="E73" i="10" s="1"/>
  <c r="F73" i="10" s="1"/>
  <c r="G73" i="10" s="1"/>
  <c r="D74" i="10" a="1"/>
  <c r="D74" i="10" s="1"/>
  <c r="E74" i="10" s="1"/>
  <c r="F74" i="10" s="1"/>
  <c r="G74" i="10" s="1"/>
  <c r="D75" i="10" a="1"/>
  <c r="D75" i="10" s="1"/>
  <c r="E75" i="10" s="1"/>
  <c r="F75" i="10" s="1"/>
  <c r="G75" i="10" s="1"/>
  <c r="E1" i="10"/>
  <c r="A34" i="10"/>
  <c r="A35" i="10"/>
  <c r="A36" i="10"/>
  <c r="A37" i="10"/>
  <c r="A38" i="10"/>
  <c r="A39" i="10"/>
  <c r="A40" i="10"/>
  <c r="A41" i="10"/>
  <c r="A42" i="10"/>
  <c r="A43" i="10"/>
  <c r="A45" i="10"/>
  <c r="A46" i="10"/>
  <c r="A47" i="10"/>
  <c r="A48" i="10"/>
  <c r="A49" i="10"/>
  <c r="A50" i="10"/>
  <c r="A51" i="10"/>
  <c r="A52" i="10"/>
  <c r="A53" i="10"/>
  <c r="A54" i="10"/>
  <c r="A56" i="10"/>
  <c r="A57" i="10"/>
  <c r="A58" i="10"/>
  <c r="A59" i="10"/>
  <c r="A60" i="10"/>
  <c r="A61" i="10"/>
  <c r="A62" i="10"/>
  <c r="A63" i="10"/>
  <c r="A31" i="10"/>
  <c r="A30" i="10"/>
  <c r="A29" i="10"/>
  <c r="A28" i="10"/>
  <c r="A27" i="10"/>
  <c r="A26" i="10"/>
  <c r="A25" i="10"/>
  <c r="A24" i="10"/>
  <c r="A18" i="10"/>
  <c r="A23" i="10"/>
  <c r="A21" i="10"/>
  <c r="A20" i="10"/>
  <c r="A19" i="10"/>
  <c r="A17" i="10"/>
  <c r="A16" i="10"/>
  <c r="A15" i="10"/>
  <c r="A14" i="10"/>
  <c r="A13" i="10"/>
  <c r="D4" i="9"/>
  <c r="O4" i="9" s="1"/>
  <c r="H7" i="11"/>
  <c r="H6" i="11"/>
  <c r="G6" i="11"/>
  <c r="H5" i="11"/>
  <c r="E5" i="11"/>
  <c r="G5" i="11" s="1"/>
  <c r="H4" i="11"/>
  <c r="E4" i="11"/>
  <c r="G4" i="11" s="1"/>
  <c r="H3" i="11"/>
  <c r="G3" i="11"/>
  <c r="B16" i="8"/>
  <c r="B10" i="8"/>
  <c r="J10" i="8" s="1"/>
  <c r="B9" i="8"/>
  <c r="J9" i="8" s="1"/>
  <c r="AK39" i="1"/>
  <c r="AK38" i="1"/>
  <c r="D12" i="2"/>
  <c r="C16" i="7"/>
  <c r="C47" i="6"/>
  <c r="O30" i="9" l="1"/>
  <c r="F49" i="13"/>
  <c r="H120" i="13"/>
  <c r="E50" i="10"/>
  <c r="F50" i="10" s="1"/>
  <c r="G50" i="10" s="1"/>
  <c r="B8" i="9"/>
  <c r="G3" i="13"/>
  <c r="L3" i="13"/>
  <c r="F1" i="13"/>
  <c r="L114" i="13"/>
  <c r="I114" i="13"/>
  <c r="L117" i="13"/>
  <c r="K114" i="13"/>
  <c r="H114" i="13"/>
  <c r="F114" i="13"/>
  <c r="F112" i="13"/>
  <c r="E22" i="9"/>
  <c r="N22" i="9" s="1"/>
  <c r="O22" i="9" s="1"/>
  <c r="F118" i="13"/>
  <c r="F6" i="11"/>
  <c r="F12" i="11" s="1"/>
  <c r="F3" i="11"/>
  <c r="D114" i="13"/>
  <c r="J114" i="13" s="1"/>
  <c r="A111" i="13"/>
  <c r="G111" i="13" s="1"/>
  <c r="B120" i="13"/>
  <c r="G120" i="13" s="1"/>
  <c r="F1" i="10"/>
  <c r="G1" i="10" s="1"/>
  <c r="F63" i="10"/>
  <c r="G63" i="10" s="1"/>
  <c r="F4" i="11"/>
  <c r="F5" i="11"/>
  <c r="B63" i="5"/>
  <c r="F7" i="11" l="1"/>
  <c r="E7" i="11" s="1"/>
  <c r="G7" i="11" s="1"/>
  <c r="G8" i="9"/>
  <c r="H111" i="13"/>
  <c r="K111" i="13"/>
  <c r="F111" i="13"/>
  <c r="I111" i="13"/>
  <c r="L111" i="13"/>
  <c r="A108" i="13"/>
  <c r="D111" i="13"/>
  <c r="J111" i="13" s="1"/>
  <c r="L120" i="13"/>
  <c r="B83" i="6"/>
  <c r="O8" i="9" l="1"/>
  <c r="O10" i="9"/>
  <c r="F108" i="13"/>
  <c r="H108" i="13"/>
  <c r="K108" i="13"/>
  <c r="I108" i="13"/>
  <c r="G108" i="13"/>
  <c r="L108" i="13"/>
  <c r="A105" i="13"/>
  <c r="D108" i="13"/>
  <c r="J108" i="13" s="1"/>
  <c r="AA24" i="3"/>
  <c r="F107" i="13" l="1"/>
  <c r="F110" i="13"/>
  <c r="F116" i="13"/>
  <c r="F113" i="13"/>
  <c r="F119" i="13"/>
  <c r="F105" i="13"/>
  <c r="H105" i="13"/>
  <c r="K105" i="13"/>
  <c r="I105" i="13"/>
  <c r="F104" i="13"/>
  <c r="L105" i="13"/>
  <c r="G105" i="13"/>
  <c r="A102" i="13"/>
  <c r="D105" i="13"/>
  <c r="J105" i="13" s="1"/>
  <c r="C18" i="7"/>
  <c r="C17" i="7"/>
  <c r="C15" i="7"/>
  <c r="C14" i="7"/>
  <c r="C13" i="7"/>
  <c r="K102" i="13" l="1"/>
  <c r="H102" i="13"/>
  <c r="F102" i="13"/>
  <c r="I102" i="13"/>
  <c r="F101" i="13"/>
  <c r="G102" i="13"/>
  <c r="L102" i="13"/>
  <c r="A99" i="13"/>
  <c r="D102" i="13"/>
  <c r="E15" i="6"/>
  <c r="E13" i="6" s="1"/>
  <c r="C29" i="3"/>
  <c r="J102" i="13" l="1"/>
  <c r="F99" i="13"/>
  <c r="H99" i="13"/>
  <c r="K99" i="13"/>
  <c r="I99" i="13"/>
  <c r="L99" i="13"/>
  <c r="G99" i="13"/>
  <c r="F98" i="13"/>
  <c r="A96" i="13"/>
  <c r="D99" i="13"/>
  <c r="J99" i="13" s="1"/>
  <c r="C14" i="6"/>
  <c r="B14" i="6"/>
  <c r="F96" i="13" l="1"/>
  <c r="H96" i="13"/>
  <c r="K96" i="13"/>
  <c r="I96" i="13"/>
  <c r="F95" i="13"/>
  <c r="L96" i="13"/>
  <c r="G96" i="13"/>
  <c r="A93" i="13"/>
  <c r="D96" i="13"/>
  <c r="J96" i="13" s="1"/>
  <c r="C14" i="3"/>
  <c r="F24" i="8" s="1"/>
  <c r="F93" i="13" l="1"/>
  <c r="K93" i="13"/>
  <c r="H93" i="13"/>
  <c r="I93" i="13"/>
  <c r="G93" i="13"/>
  <c r="L93" i="13"/>
  <c r="F92" i="13"/>
  <c r="A90" i="13"/>
  <c r="D93" i="13"/>
  <c r="J93" i="13" s="1"/>
  <c r="B14" i="3"/>
  <c r="D24" i="8" s="1"/>
  <c r="K90" i="13" l="1"/>
  <c r="H90" i="13"/>
  <c r="F90" i="13"/>
  <c r="I90" i="13"/>
  <c r="F89" i="13"/>
  <c r="F88" i="13"/>
  <c r="G90" i="13"/>
  <c r="L90" i="13"/>
  <c r="A87" i="13"/>
  <c r="D90" i="13"/>
  <c r="J90" i="13" l="1"/>
  <c r="F87" i="13"/>
  <c r="H87" i="13"/>
  <c r="K87" i="13"/>
  <c r="I87" i="13"/>
  <c r="F86" i="13"/>
  <c r="G87" i="13"/>
  <c r="L87" i="13"/>
  <c r="D87" i="13"/>
  <c r="A84" i="13"/>
  <c r="AK32" i="1"/>
  <c r="J87" i="13" l="1"/>
  <c r="F84" i="13"/>
  <c r="H84" i="13"/>
  <c r="K84" i="13"/>
  <c r="I84" i="13"/>
  <c r="F83" i="13"/>
  <c r="G84" i="13"/>
  <c r="L84" i="13"/>
  <c r="A81" i="13"/>
  <c r="D84" i="13"/>
  <c r="D9" i="2"/>
  <c r="J84" i="13" l="1"/>
  <c r="F81" i="13"/>
  <c r="H81" i="13"/>
  <c r="K81" i="13"/>
  <c r="F80" i="13"/>
  <c r="I81" i="13"/>
  <c r="G81" i="13"/>
  <c r="L81" i="13"/>
  <c r="A78" i="13"/>
  <c r="D81" i="13"/>
  <c r="BC13" i="6"/>
  <c r="BC15" i="6"/>
  <c r="BC14" i="6"/>
  <c r="J81" i="13" l="1"/>
  <c r="K78" i="13"/>
  <c r="H78" i="13"/>
  <c r="F78" i="13"/>
  <c r="F77" i="13"/>
  <c r="I78" i="13"/>
  <c r="L78" i="13"/>
  <c r="G78" i="13"/>
  <c r="A75" i="13"/>
  <c r="D78" i="13"/>
  <c r="J78" i="13" s="1"/>
  <c r="AH14" i="1"/>
  <c r="AH13" i="1"/>
  <c r="K75" i="13" l="1"/>
  <c r="F75" i="13"/>
  <c r="H75" i="13"/>
  <c r="I75" i="13"/>
  <c r="F74" i="13"/>
  <c r="G75" i="13"/>
  <c r="L75" i="13"/>
  <c r="F73" i="13"/>
  <c r="A72" i="13"/>
  <c r="D75" i="13"/>
  <c r="J75" i="13" s="1"/>
  <c r="AI14" i="1"/>
  <c r="AI13" i="1"/>
  <c r="F72" i="13" l="1"/>
  <c r="H72" i="13"/>
  <c r="K72" i="13"/>
  <c r="F71" i="13"/>
  <c r="I72" i="13"/>
  <c r="L72" i="13"/>
  <c r="G72" i="13"/>
  <c r="F70" i="13"/>
  <c r="A69" i="13"/>
  <c r="D72" i="13"/>
  <c r="J72" i="13" s="1"/>
  <c r="B13" i="6"/>
  <c r="F69" i="13" l="1"/>
  <c r="H69" i="13"/>
  <c r="K69" i="13"/>
  <c r="I69" i="13"/>
  <c r="F68" i="13"/>
  <c r="G69" i="13"/>
  <c r="L69" i="13"/>
  <c r="F67" i="13"/>
  <c r="A66" i="13"/>
  <c r="D69" i="13"/>
  <c r="J69" i="13" s="1"/>
  <c r="D29" i="5"/>
  <c r="K66" i="13" l="1"/>
  <c r="H66" i="13"/>
  <c r="F66" i="13"/>
  <c r="I66" i="13"/>
  <c r="F65" i="13"/>
  <c r="F64" i="13"/>
  <c r="G66" i="13"/>
  <c r="L66" i="13"/>
  <c r="A63" i="13"/>
  <c r="D66" i="13"/>
  <c r="J66" i="13" s="1"/>
  <c r="AN21" i="6"/>
  <c r="AM21" i="6"/>
  <c r="AL21" i="6"/>
  <c r="I63" i="13" l="1"/>
  <c r="F63" i="13"/>
  <c r="H63" i="13"/>
  <c r="K63" i="13"/>
  <c r="F62" i="13"/>
  <c r="L63" i="13"/>
  <c r="G63" i="13"/>
  <c r="A60" i="13"/>
  <c r="D63" i="13"/>
  <c r="BA27" i="6"/>
  <c r="J63" i="13" l="1"/>
  <c r="G60" i="13"/>
  <c r="H60" i="13"/>
  <c r="I60" i="13"/>
  <c r="K60" i="13"/>
  <c r="L60" i="13"/>
  <c r="F60" i="13"/>
  <c r="F59" i="13"/>
  <c r="F58" i="13"/>
  <c r="A57" i="13"/>
  <c r="D57" i="13"/>
  <c r="D60" i="13"/>
  <c r="J60" i="13" s="1"/>
  <c r="AZ27" i="6"/>
  <c r="BA26" i="6"/>
  <c r="AZ26" i="6"/>
  <c r="BA25" i="6"/>
  <c r="AZ25" i="6"/>
  <c r="BA24" i="6"/>
  <c r="AZ24" i="6"/>
  <c r="F57" i="13" l="1"/>
  <c r="G57" i="13"/>
  <c r="H57" i="13"/>
  <c r="J57" i="13"/>
  <c r="I57" i="13"/>
  <c r="K57" i="13"/>
  <c r="L57" i="13"/>
  <c r="F56" i="13"/>
  <c r="F55" i="13"/>
  <c r="A54" i="13"/>
  <c r="D54" i="13"/>
  <c r="BD26" i="6"/>
  <c r="BC27" i="6"/>
  <c r="BB27" i="6"/>
  <c r="BD27" i="6"/>
  <c r="BB25" i="6"/>
  <c r="BD24" i="6"/>
  <c r="BD25" i="6"/>
  <c r="BC25" i="6"/>
  <c r="BB24" i="6"/>
  <c r="BC24" i="6"/>
  <c r="BB26" i="6"/>
  <c r="BC26" i="6"/>
  <c r="F53" i="13" l="1"/>
  <c r="I54" i="13"/>
  <c r="J54" i="13"/>
  <c r="K54" i="13"/>
  <c r="L54" i="13"/>
  <c r="F54" i="13"/>
  <c r="H54" i="13"/>
  <c r="G54" i="13"/>
  <c r="F52" i="13"/>
  <c r="A51" i="13"/>
  <c r="A48" i="13"/>
  <c r="D51" i="13"/>
  <c r="BE26" i="6"/>
  <c r="BG26" i="6" s="1"/>
  <c r="BF27" i="6"/>
  <c r="BH27" i="6" s="1"/>
  <c r="BE27" i="6"/>
  <c r="BG27" i="6" s="1"/>
  <c r="BF25" i="6"/>
  <c r="BH25" i="6" s="1"/>
  <c r="BE24" i="6"/>
  <c r="BG24" i="6" s="1"/>
  <c r="BE25" i="6"/>
  <c r="BG25" i="6" s="1"/>
  <c r="BF26" i="6"/>
  <c r="BH26" i="6" s="1"/>
  <c r="BF24" i="6"/>
  <c r="BH24" i="6" s="1"/>
  <c r="K48" i="13" l="1"/>
  <c r="L48" i="13"/>
  <c r="F47" i="13"/>
  <c r="G48" i="13"/>
  <c r="H48" i="13"/>
  <c r="F48" i="13"/>
  <c r="I48" i="13"/>
  <c r="F46" i="13"/>
  <c r="F50" i="13"/>
  <c r="F51" i="13"/>
  <c r="G51" i="13"/>
  <c r="H51" i="13"/>
  <c r="I51" i="13"/>
  <c r="L51" i="13"/>
  <c r="J51" i="13"/>
  <c r="K51" i="13"/>
  <c r="A45" i="13"/>
  <c r="D48" i="13"/>
  <c r="J48" i="13" s="1"/>
  <c r="BK25" i="6"/>
  <c r="BA15" i="6" s="1"/>
  <c r="BB15" i="6" s="1"/>
  <c r="BD15" i="6" s="1"/>
  <c r="BK24" i="6"/>
  <c r="BK23" i="6"/>
  <c r="BA13" i="6" s="1"/>
  <c r="AM32" i="7"/>
  <c r="AR36" i="7" s="1"/>
  <c r="AV32" i="7"/>
  <c r="AV13" i="7"/>
  <c r="AX32" i="7"/>
  <c r="AX13" i="7"/>
  <c r="F45" i="13" l="1"/>
  <c r="G45" i="13"/>
  <c r="H45" i="13"/>
  <c r="F44" i="13"/>
  <c r="I45" i="13"/>
  <c r="K45" i="13"/>
  <c r="L45" i="13"/>
  <c r="A42" i="13"/>
  <c r="D45" i="13"/>
  <c r="J45" i="13" s="1"/>
  <c r="BA14" i="6"/>
  <c r="BB14" i="6" s="1"/>
  <c r="BD14" i="6" s="1"/>
  <c r="BB13" i="6"/>
  <c r="BD13" i="6" s="1"/>
  <c r="AT32" i="7"/>
  <c r="AZ32" i="7" s="1"/>
  <c r="BA32" i="7"/>
  <c r="AN32" i="7"/>
  <c r="AS32" i="7" s="1"/>
  <c r="F41" i="13" l="1"/>
  <c r="F42" i="13"/>
  <c r="G42" i="13"/>
  <c r="I42" i="13"/>
  <c r="L42" i="13"/>
  <c r="H42" i="13"/>
  <c r="K42" i="13"/>
  <c r="F40" i="13"/>
  <c r="A39" i="13"/>
  <c r="D42" i="13"/>
  <c r="J42" i="13" s="1"/>
  <c r="AN13" i="7"/>
  <c r="AS13" i="7" s="1"/>
  <c r="Z13" i="7"/>
  <c r="AM13" i="7"/>
  <c r="AT13" i="7" s="1"/>
  <c r="H39" i="13" l="1"/>
  <c r="I39" i="13"/>
  <c r="K39" i="13"/>
  <c r="L39" i="13"/>
  <c r="F38" i="13"/>
  <c r="F39" i="13"/>
  <c r="G39" i="13"/>
  <c r="F37" i="13"/>
  <c r="A36" i="13"/>
  <c r="D39" i="13"/>
  <c r="J39" i="13" s="1"/>
  <c r="AZ13" i="7"/>
  <c r="F36" i="13" l="1"/>
  <c r="G36" i="13"/>
  <c r="H36" i="13"/>
  <c r="K36" i="13"/>
  <c r="F35" i="13"/>
  <c r="I36" i="13"/>
  <c r="L36" i="13"/>
  <c r="F34" i="13"/>
  <c r="A33" i="13"/>
  <c r="D36" i="13"/>
  <c r="J36" i="13" s="1"/>
  <c r="D78" i="6"/>
  <c r="B78" i="6"/>
  <c r="O14" i="7"/>
  <c r="P14" i="7"/>
  <c r="R14" i="7" s="1"/>
  <c r="N14" i="7"/>
  <c r="M14" i="7"/>
  <c r="P13" i="7"/>
  <c r="R13" i="7" s="1"/>
  <c r="M13" i="7"/>
  <c r="O13" i="7"/>
  <c r="K33" i="13" l="1"/>
  <c r="L33" i="13"/>
  <c r="I33" i="13"/>
  <c r="F32" i="13"/>
  <c r="F33" i="13"/>
  <c r="G33" i="13"/>
  <c r="H33" i="13"/>
  <c r="F31" i="13"/>
  <c r="A30" i="13"/>
  <c r="D33" i="13"/>
  <c r="J33" i="13" s="1"/>
  <c r="Q14" i="7"/>
  <c r="N13" i="7"/>
  <c r="Q13" i="7" s="1"/>
  <c r="D18" i="7"/>
  <c r="D17" i="7"/>
  <c r="D16" i="7"/>
  <c r="D15" i="7"/>
  <c r="D14" i="7"/>
  <c r="D13" i="7"/>
  <c r="AO63" i="6"/>
  <c r="AN63" i="6"/>
  <c r="AM63" i="6"/>
  <c r="AL63" i="6"/>
  <c r="AK63" i="6"/>
  <c r="AJ63" i="6"/>
  <c r="AI63" i="6"/>
  <c r="AH63" i="6"/>
  <c r="AG63" i="6"/>
  <c r="AF63" i="6"/>
  <c r="AE63" i="6"/>
  <c r="AD63" i="6"/>
  <c r="F30" i="13" l="1"/>
  <c r="G30" i="13"/>
  <c r="H30" i="13"/>
  <c r="I30" i="13"/>
  <c r="K30" i="13"/>
  <c r="F29" i="13"/>
  <c r="L30" i="13"/>
  <c r="F28" i="13"/>
  <c r="A27" i="13"/>
  <c r="D30" i="13"/>
  <c r="J30" i="13" s="1"/>
  <c r="B29" i="3"/>
  <c r="W13" i="6"/>
  <c r="T13" i="6"/>
  <c r="V13" i="6"/>
  <c r="U13" i="6"/>
  <c r="L27" i="13" l="1"/>
  <c r="F27" i="13"/>
  <c r="H27" i="13"/>
  <c r="G27" i="13"/>
  <c r="F26" i="13"/>
  <c r="I27" i="13"/>
  <c r="K27" i="13"/>
  <c r="F25" i="13"/>
  <c r="A24" i="13"/>
  <c r="D27" i="13"/>
  <c r="J27" i="13" s="1"/>
  <c r="AE21" i="6"/>
  <c r="G24" i="13" l="1"/>
  <c r="H24" i="13"/>
  <c r="I24" i="13"/>
  <c r="K24" i="13"/>
  <c r="L24" i="13"/>
  <c r="F24" i="13"/>
  <c r="F23" i="13"/>
  <c r="F22" i="13"/>
  <c r="A21" i="13"/>
  <c r="D24" i="13"/>
  <c r="J24" i="13" s="1"/>
  <c r="AJ36" i="6"/>
  <c r="AL36" i="6"/>
  <c r="AO36" i="6"/>
  <c r="AK36" i="6" s="1"/>
  <c r="F21" i="13" l="1"/>
  <c r="G21" i="13"/>
  <c r="K21" i="13"/>
  <c r="H21" i="13"/>
  <c r="I21" i="13"/>
  <c r="L21" i="13"/>
  <c r="F20" i="13"/>
  <c r="F19" i="13"/>
  <c r="A18" i="13"/>
  <c r="D21" i="13"/>
  <c r="J21" i="13" s="1"/>
  <c r="B47" i="6"/>
  <c r="B63" i="6"/>
  <c r="E63" i="6"/>
  <c r="C13" i="6"/>
  <c r="AO21" i="6"/>
  <c r="AK21" i="6"/>
  <c r="AJ21" i="6"/>
  <c r="AI21" i="6"/>
  <c r="AH21" i="6"/>
  <c r="AG21" i="6"/>
  <c r="AF21" i="6"/>
  <c r="AD21" i="6"/>
  <c r="B29" i="5"/>
  <c r="C29" i="5"/>
  <c r="D28" i="5"/>
  <c r="C28" i="5"/>
  <c r="B28" i="5"/>
  <c r="B13" i="5"/>
  <c r="C13" i="5"/>
  <c r="Y28" i="1"/>
  <c r="AD13" i="1"/>
  <c r="Y13" i="1"/>
  <c r="F15" i="9" s="1"/>
  <c r="P33" i="2"/>
  <c r="P32" i="2"/>
  <c r="P31" i="2"/>
  <c r="P30" i="2"/>
  <c r="P25" i="2"/>
  <c r="N13" i="1" s="1"/>
  <c r="B28" i="1"/>
  <c r="B13" i="1"/>
  <c r="F17" i="13" l="1"/>
  <c r="I18" i="13"/>
  <c r="K18" i="13"/>
  <c r="L18" i="13"/>
  <c r="H18" i="13"/>
  <c r="F18" i="13"/>
  <c r="G18" i="13"/>
  <c r="F16" i="13"/>
  <c r="A15" i="13"/>
  <c r="D18" i="13"/>
  <c r="J18" i="13" s="1"/>
  <c r="L13" i="1"/>
  <c r="O13" i="1" s="1"/>
  <c r="P13" i="1"/>
  <c r="M13" i="1"/>
  <c r="C58" i="1"/>
  <c r="B43" i="1"/>
  <c r="B44" i="3"/>
  <c r="F14" i="13" l="1"/>
  <c r="F15" i="13"/>
  <c r="G15" i="13"/>
  <c r="H15" i="13"/>
  <c r="I15" i="13"/>
  <c r="K15" i="13"/>
  <c r="L15" i="13"/>
  <c r="F13" i="13"/>
  <c r="D15" i="13"/>
  <c r="J15" i="13" s="1"/>
  <c r="A12" i="13"/>
  <c r="Q13" i="1"/>
  <c r="D14" i="3"/>
  <c r="S14" i="3"/>
  <c r="K12" i="13" l="1"/>
  <c r="L12" i="13"/>
  <c r="F11" i="13"/>
  <c r="G12" i="13"/>
  <c r="F12" i="13"/>
  <c r="H12" i="13"/>
  <c r="I12" i="13"/>
  <c r="F10" i="13"/>
  <c r="A9" i="13"/>
  <c r="D12" i="13"/>
  <c r="J12" i="13" s="1"/>
  <c r="AA23" i="3"/>
  <c r="AA31" i="3" s="1"/>
  <c r="AK33" i="1" s="1"/>
  <c r="B24" i="8"/>
  <c r="P20" i="2"/>
  <c r="P19" i="2"/>
  <c r="N14" i="3"/>
  <c r="F15" i="8" s="1"/>
  <c r="P18" i="2"/>
  <c r="P17" i="2"/>
  <c r="J24" i="8" l="1"/>
  <c r="B5" i="8"/>
  <c r="B6" i="8"/>
  <c r="C6" i="8" s="1"/>
  <c r="J6" i="8" s="1"/>
  <c r="F9" i="13"/>
  <c r="G9" i="13"/>
  <c r="F8" i="13"/>
  <c r="H9" i="13"/>
  <c r="I9" i="13"/>
  <c r="K9" i="13"/>
  <c r="L9" i="13"/>
  <c r="F7" i="13"/>
  <c r="D9" i="13"/>
  <c r="J9" i="13" s="1"/>
  <c r="A6" i="13"/>
  <c r="AK41" i="1"/>
  <c r="C44" i="3"/>
  <c r="D29" i="3"/>
  <c r="P14" i="2"/>
  <c r="P12" i="2"/>
  <c r="C5" i="8" l="1"/>
  <c r="J5" i="8" s="1"/>
  <c r="B3" i="9"/>
  <c r="N3" i="9" s="1"/>
  <c r="O3" i="9" s="1"/>
  <c r="M14" i="3"/>
  <c r="B17" i="8" s="1"/>
  <c r="I17" i="8" s="1"/>
  <c r="J17" i="8" s="1"/>
  <c r="X14" i="1"/>
  <c r="B2" i="9"/>
  <c r="N2" i="9" s="1"/>
  <c r="O2" i="9" s="1"/>
  <c r="M15" i="3"/>
  <c r="Q15" i="3" s="1"/>
  <c r="L6" i="13"/>
  <c r="F5" i="13"/>
  <c r="G6" i="13"/>
  <c r="F6" i="13"/>
  <c r="H6" i="13"/>
  <c r="I6" i="13"/>
  <c r="K6" i="13"/>
  <c r="F4" i="13"/>
  <c r="D6" i="13"/>
  <c r="A3" i="13"/>
  <c r="X28" i="1"/>
  <c r="C63" i="6"/>
  <c r="X13" i="1"/>
  <c r="D15" i="9" s="1"/>
  <c r="N15" i="9" l="1"/>
  <c r="O15" i="9" s="1"/>
  <c r="F115" i="13" s="1"/>
  <c r="D15" i="8"/>
  <c r="I15" i="8" s="1"/>
  <c r="J15" i="8" s="1"/>
  <c r="AC14" i="1"/>
  <c r="Z14" i="1"/>
  <c r="AB14" i="1"/>
  <c r="Y14" i="1"/>
  <c r="F19" i="9" s="1"/>
  <c r="AE14" i="1"/>
  <c r="AA14" i="1"/>
  <c r="B21" i="9" s="1"/>
  <c r="N21" i="9" s="1"/>
  <c r="O21" i="9" s="1"/>
  <c r="D19" i="8"/>
  <c r="T15" i="3"/>
  <c r="N15" i="3"/>
  <c r="F19" i="8" s="1"/>
  <c r="P15" i="3"/>
  <c r="B21" i="8" s="1"/>
  <c r="I21" i="8" s="1"/>
  <c r="J21" i="8" s="1"/>
  <c r="O15" i="3"/>
  <c r="B19" i="8" s="1"/>
  <c r="R15" i="3"/>
  <c r="F61" i="13"/>
  <c r="J6" i="13"/>
  <c r="J3" i="13" s="1"/>
  <c r="F91" i="13"/>
  <c r="D19" i="9"/>
  <c r="B17" i="9"/>
  <c r="N17" i="9" s="1"/>
  <c r="O17" i="9" s="1"/>
  <c r="D3" i="13"/>
  <c r="F106" i="13" l="1"/>
  <c r="B19" i="9"/>
  <c r="N19" i="9" s="1"/>
  <c r="F103" i="13"/>
  <c r="I19" i="8"/>
  <c r="J19" i="8" s="1"/>
  <c r="O19" i="9" l="1"/>
  <c r="F85" i="13" s="1"/>
  <c r="F43" i="13"/>
  <c r="F82" i="13"/>
  <c r="F79" i="13"/>
  <c r="F76" i="13"/>
  <c r="I4" i="17"/>
  <c r="E4" i="17"/>
  <c r="C4" i="17" s="1"/>
  <c r="F94" i="13" l="1"/>
  <c r="F100" i="13"/>
  <c r="F109" i="13"/>
  <c r="F97" i="13"/>
  <c r="E6" i="19"/>
  <c r="G6" i="19" s="1"/>
  <c r="F11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<sst xmlns="http://schemas.openxmlformats.org/spreadsheetml/2006/main" count="1230" uniqueCount="682">
  <si>
    <t>A</t>
  </si>
  <si>
    <t>B</t>
  </si>
  <si>
    <t>C</t>
  </si>
  <si>
    <t>QTY</t>
  </si>
  <si>
    <t>MATERIAL</t>
  </si>
  <si>
    <t>INNER TUBE INS.</t>
  </si>
  <si>
    <t>DDP SUPPORT INS.</t>
  </si>
  <si>
    <t xml:space="preserve">INBETWEEN LEADS INS. </t>
  </si>
  <si>
    <t>COOLING DUCT</t>
  </si>
  <si>
    <t>P</t>
  </si>
  <si>
    <t>H</t>
  </si>
  <si>
    <t>W</t>
  </si>
  <si>
    <t xml:space="preserve">OUTER LEAD INS. </t>
  </si>
  <si>
    <t>HV-LV BARRIER</t>
  </si>
  <si>
    <t>T</t>
  </si>
  <si>
    <t xml:space="preserve">EARTHING SHIELD INS. </t>
  </si>
  <si>
    <t>INS. AT HV-START</t>
  </si>
  <si>
    <t>INS. AT HV-TAPPING</t>
  </si>
  <si>
    <t xml:space="preserve">LEAD SUPPORT STICK </t>
  </si>
  <si>
    <t>L</t>
  </si>
  <si>
    <t>INS. BET. CLAMP &amp; CORE</t>
  </si>
  <si>
    <t>WOODEN BLOCKS</t>
  </si>
  <si>
    <t>WOODEN SUPPORT-TOP</t>
  </si>
  <si>
    <t>WOODEN SUPPORT-BOTTOM</t>
  </si>
  <si>
    <t>DWG. NO.</t>
  </si>
  <si>
    <t>STEPPED BLOCK-HV</t>
  </si>
  <si>
    <t>STEPPED BLOCK-LV</t>
  </si>
  <si>
    <t>INS. BET. LEAD &amp; CORE</t>
  </si>
  <si>
    <t>INTERPHASE INS.</t>
  </si>
  <si>
    <t>WINDING SUPPORT INS.-TOP</t>
  </si>
  <si>
    <t>WINDING SUPPORT INS.-BOTTOM</t>
  </si>
  <si>
    <t>INS. BETWEEN LIF. TR. &amp; CORE</t>
  </si>
  <si>
    <t>WOODEN STICKS</t>
  </si>
  <si>
    <t>ROD SIZE</t>
  </si>
  <si>
    <t>LENGTH/WDG</t>
  </si>
  <si>
    <t>LENGTH/TF</t>
  </si>
  <si>
    <t>ASSEMBLY INSULATIONS</t>
  </si>
  <si>
    <t>INS. BETWEEN LEAD &amp; CLAMP</t>
  </si>
  <si>
    <t>INS. INBETWEEN LEADS</t>
  </si>
  <si>
    <t>INS. BETWEEN LEAD &amp; TANK</t>
  </si>
  <si>
    <t>INS. BETWEEN DELTA &amp; CLAMP</t>
  </si>
  <si>
    <t>INS. BETWEEN DELTA &amp; TAPPING</t>
  </si>
  <si>
    <t>INS. BETWEEN TAPPING &amp; TANK</t>
  </si>
  <si>
    <t>ADDITIONAL PB-1</t>
  </si>
  <si>
    <t>ADDITIONAL PB-2</t>
  </si>
  <si>
    <t>D</t>
  </si>
  <si>
    <t>E BLOCK</t>
  </si>
  <si>
    <t>INS. BET. CLAMP &amp; CORE - HV</t>
  </si>
  <si>
    <t>INS. BET. CLAMP &amp; CORE - LV</t>
  </si>
  <si>
    <t>AXIAL SPACER</t>
  </si>
  <si>
    <t>STRAP SUPPORT</t>
  </si>
  <si>
    <t>AXIAL WOODEN SUPPORT</t>
  </si>
  <si>
    <t>E</t>
  </si>
  <si>
    <t>TAPPING BOARD SUPPORT</t>
  </si>
  <si>
    <t>ADDITIONAL PB-3</t>
  </si>
  <si>
    <t>Q</t>
  </si>
  <si>
    <t>AXIAL SPACER - NEW</t>
  </si>
  <si>
    <t>F</t>
  </si>
  <si>
    <t>R</t>
  </si>
  <si>
    <t>Step 1 Width</t>
  </si>
  <si>
    <t>Step 1 Build</t>
  </si>
  <si>
    <t>Step 2 Width</t>
  </si>
  <si>
    <t>Step 2 Build</t>
  </si>
  <si>
    <t>Step 3 Width</t>
  </si>
  <si>
    <t>Step 3 Build</t>
  </si>
  <si>
    <t>Step 4 Width</t>
  </si>
  <si>
    <t>Strap Sup Ins -Width</t>
  </si>
  <si>
    <t>Strap Sup Ins -Build</t>
  </si>
  <si>
    <t>Clear LV to Core Leg</t>
  </si>
  <si>
    <t>Lead Width</t>
  </si>
  <si>
    <t>Lead Thickness</t>
  </si>
  <si>
    <t>LV Rad Build - HV</t>
  </si>
  <si>
    <t>LV Rad Build - Leg</t>
  </si>
  <si>
    <t>LV Rad Build - LV</t>
  </si>
  <si>
    <t>HV - LV Elec Span</t>
  </si>
  <si>
    <t>HV Rad Build - HV</t>
  </si>
  <si>
    <t>HV Rad Build - Leg</t>
  </si>
  <si>
    <t>HV Rad Build - LV</t>
  </si>
  <si>
    <t>Coil Length</t>
  </si>
  <si>
    <t>LV Elec Length</t>
  </si>
  <si>
    <t>Step 4 Build</t>
  </si>
  <si>
    <t>Step 5 Width</t>
  </si>
  <si>
    <t>Step 5 Build HV Side</t>
  </si>
  <si>
    <t>Step 5 Build LV Side</t>
  </si>
  <si>
    <t>Core C-C</t>
  </si>
  <si>
    <t>Core WH</t>
  </si>
  <si>
    <t>Capacity</t>
  </si>
  <si>
    <t>HV</t>
  </si>
  <si>
    <t>LV</t>
  </si>
  <si>
    <t>Earth Shield</t>
  </si>
  <si>
    <t>Clear SSI to In Lead/ Clear Lead to core</t>
  </si>
  <si>
    <t xml:space="preserve"> </t>
  </si>
  <si>
    <t>LV Rad Build - Mean</t>
  </si>
  <si>
    <t>HV Rad Build - Mean</t>
  </si>
  <si>
    <t>PB</t>
  </si>
  <si>
    <t>Cooling Duct 1</t>
  </si>
  <si>
    <t>Cooling Duct 2</t>
  </si>
  <si>
    <t>CD Variable 2</t>
  </si>
  <si>
    <t>CD Variable 1</t>
  </si>
  <si>
    <t>CD Variable 3</t>
  </si>
  <si>
    <t>CD Variable 4</t>
  </si>
  <si>
    <t>Lead Variable</t>
  </si>
  <si>
    <t>WOOD</t>
  </si>
  <si>
    <t>CD Variable 5</t>
  </si>
  <si>
    <t>CD Variable 6</t>
  </si>
  <si>
    <t>CD Variable 7</t>
  </si>
  <si>
    <t>CD Variable 8</t>
  </si>
  <si>
    <t>YOKE INSULATION</t>
  </si>
  <si>
    <t>CT-1956/08-2</t>
  </si>
  <si>
    <t>CT-1956/08-3</t>
  </si>
  <si>
    <t>CT-1956/08-1</t>
  </si>
  <si>
    <t>EBONITE</t>
  </si>
  <si>
    <t>PRESSBOARD SPACER</t>
  </si>
  <si>
    <t>AXIAL WOODEN BLOCK</t>
  </si>
  <si>
    <t>Clamp Depth</t>
  </si>
  <si>
    <t>CORNER CORE STICK</t>
  </si>
  <si>
    <t>AXIAL SPACER HALF - NEW</t>
  </si>
  <si>
    <t>Clamp Width</t>
  </si>
  <si>
    <t>G</t>
  </si>
  <si>
    <t>I</t>
  </si>
  <si>
    <t>J</t>
  </si>
  <si>
    <t>K</t>
  </si>
  <si>
    <t xml:space="preserve">TAPPING BOARD </t>
  </si>
  <si>
    <t>Tapping Board C-C</t>
  </si>
  <si>
    <t>aH</t>
  </si>
  <si>
    <t>bH</t>
  </si>
  <si>
    <t>Alpha</t>
  </si>
  <si>
    <t>cH</t>
  </si>
  <si>
    <t>pH</t>
  </si>
  <si>
    <t>Calc Size 1</t>
  </si>
  <si>
    <t>Calc Size 2</t>
  </si>
  <si>
    <t>Rod Size 1</t>
  </si>
  <si>
    <t>Rod Size 2</t>
  </si>
  <si>
    <t>Rod</t>
  </si>
  <si>
    <t>Count</t>
  </si>
  <si>
    <t>INS. BETWEEN FOOT &amp; CORE</t>
  </si>
  <si>
    <t>Min. Gap between busbars - 1</t>
  </si>
  <si>
    <t>Min. Gap between busbars - 2</t>
  </si>
  <si>
    <t xml:space="preserve">BETWEEN CORE-WINDING </t>
  </si>
  <si>
    <t>BETWEEN LEAD-CORE</t>
  </si>
  <si>
    <t>INNER TUBE</t>
  </si>
  <si>
    <t>LV 1</t>
  </si>
  <si>
    <t>RAD BLDS H</t>
  </si>
  <si>
    <t>RAD BLDS L</t>
  </si>
  <si>
    <t>LEAD THK.</t>
  </si>
  <si>
    <t>DDP SUPPORT</t>
  </si>
  <si>
    <t>LEAD INS</t>
  </si>
  <si>
    <t>AIR CLEAR</t>
  </si>
  <si>
    <t>LV1</t>
  </si>
  <si>
    <t>SOLAR BARRIER</t>
  </si>
  <si>
    <t>TAPPING ins</t>
  </si>
  <si>
    <t>TAP START</t>
  </si>
  <si>
    <t>BARRIER</t>
  </si>
  <si>
    <t>NO. LAYERS</t>
  </si>
  <si>
    <t xml:space="preserve">                                          </t>
  </si>
  <si>
    <t>OD</t>
  </si>
  <si>
    <t>CORE CORNER STRIP</t>
  </si>
  <si>
    <t>TIE RODE SLEEVE</t>
  </si>
  <si>
    <t>ID2</t>
  </si>
  <si>
    <t>ID1</t>
  </si>
  <si>
    <t>LV SHORT SIDE</t>
  </si>
  <si>
    <t>LV LONG SIDE</t>
  </si>
  <si>
    <t>LV FOIL HT</t>
  </si>
  <si>
    <t>LV EDGE STRIP</t>
  </si>
  <si>
    <t>LV Foil thk.</t>
  </si>
  <si>
    <t>Resistance (Coil)</t>
  </si>
  <si>
    <t>TURNS PER COIL</t>
  </si>
  <si>
    <t>CU-FOIL</t>
  </si>
  <si>
    <t>mm</t>
  </si>
  <si>
    <t>kg</t>
  </si>
  <si>
    <t>FOIL WEIGHT</t>
  </si>
  <si>
    <t>NUM OF LAYERS</t>
  </si>
  <si>
    <t>INSU. SIZE</t>
  </si>
  <si>
    <t>x</t>
  </si>
  <si>
    <t>EDGE STRIP</t>
  </si>
  <si>
    <t>INSU. WEI</t>
  </si>
  <si>
    <t>CD1 SIZE</t>
  </si>
  <si>
    <t>CD1 STICKS</t>
  </si>
  <si>
    <t>CD1 POSITION</t>
  </si>
  <si>
    <t>&amp;</t>
  </si>
  <si>
    <t>CD2 SIZE</t>
  </si>
  <si>
    <t>CD2 STICKS</t>
  </si>
  <si>
    <t>CD2 POSITION</t>
  </si>
  <si>
    <t>CENTER LIMB</t>
  </si>
  <si>
    <t>CORNER LIMB</t>
  </si>
  <si>
    <t>TOP &amp; BOTTOM YOKE</t>
  </si>
  <si>
    <t>ITEM</t>
  </si>
  <si>
    <t xml:space="preserve">WIDTH OF CORE STEEL </t>
  </si>
  <si>
    <t>NET WEIGHT (kg)</t>
  </si>
  <si>
    <t>GROSS WEIGHT (kg)</t>
  </si>
  <si>
    <t>WH  WINDOW HEIGHT (mm)</t>
  </si>
  <si>
    <t xml:space="preserve">WH+T CENTER LINE DISTANCE (mm) </t>
  </si>
  <si>
    <t>WH+T CENTER LINE DISTANCE (mm)</t>
  </si>
  <si>
    <t>C+C  CENTER LINE DISTANCE (mm)</t>
  </si>
  <si>
    <t>T1</t>
  </si>
  <si>
    <t>T2</t>
  </si>
  <si>
    <t>T3</t>
  </si>
  <si>
    <t>T4</t>
  </si>
  <si>
    <t>T5</t>
  </si>
  <si>
    <t>VALUE</t>
  </si>
  <si>
    <t>WINDOW HEIGHT (WH)</t>
  </si>
  <si>
    <t>B1</t>
  </si>
  <si>
    <t>CENTER TO CEN. (C)</t>
  </si>
  <si>
    <t>B2</t>
  </si>
  <si>
    <t>YOKE HOLE DISTANCE (C1)</t>
  </si>
  <si>
    <t>B3</t>
  </si>
  <si>
    <t>HOLE DISTANCE (H)</t>
  </si>
  <si>
    <t>B4</t>
  </si>
  <si>
    <t>B5</t>
  </si>
  <si>
    <t>B6</t>
  </si>
  <si>
    <t>HV Conductor Wt...:</t>
  </si>
  <si>
    <t>Lay/Trn/Duc Wts...:</t>
  </si>
  <si>
    <r>
      <rPr>
        <b/>
        <sz val="10"/>
        <color theme="1"/>
        <rFont val="Verdana"/>
        <family val="2"/>
      </rPr>
      <t># Lay</t>
    </r>
    <r>
      <rPr>
        <sz val="10"/>
        <color theme="1"/>
        <rFont val="Verdana"/>
        <family val="2"/>
      </rPr>
      <t>: Max/Min tpl:</t>
    </r>
  </si>
  <si>
    <r>
      <t xml:space="preserve"># Lay: </t>
    </r>
    <r>
      <rPr>
        <b/>
        <sz val="10"/>
        <color theme="1"/>
        <rFont val="Verdana"/>
        <family val="2"/>
      </rPr>
      <t>Max</t>
    </r>
    <r>
      <rPr>
        <sz val="10"/>
        <color theme="1"/>
        <rFont val="Verdana"/>
        <family val="2"/>
      </rPr>
      <t>/Min tpl:</t>
    </r>
  </si>
  <si>
    <r>
      <t># Lay: Max/</t>
    </r>
    <r>
      <rPr>
        <b/>
        <sz val="10"/>
        <color theme="1"/>
        <rFont val="Verdana"/>
        <family val="2"/>
      </rPr>
      <t>Min tpl:</t>
    </r>
  </si>
  <si>
    <t>Turns Tot.</t>
  </si>
  <si>
    <r>
      <rPr>
        <b/>
        <sz val="10"/>
        <color theme="1"/>
        <rFont val="Verdana"/>
        <family val="2"/>
      </rPr>
      <t>Layer/</t>
    </r>
    <r>
      <rPr>
        <sz val="10"/>
        <color theme="1"/>
        <rFont val="Verdana"/>
        <family val="2"/>
      </rPr>
      <t>Turn Ins Bd.:</t>
    </r>
  </si>
  <si>
    <r>
      <t>Layer/</t>
    </r>
    <r>
      <rPr>
        <b/>
        <sz val="10"/>
        <color theme="1"/>
        <rFont val="Verdana"/>
        <family val="2"/>
      </rPr>
      <t>Turn Ins Bd.:</t>
    </r>
  </si>
  <si>
    <t>Average LayIns Tk.:</t>
  </si>
  <si>
    <t>HV winding</t>
  </si>
  <si>
    <t>Cond.</t>
  </si>
  <si>
    <t>COPPER ROUND</t>
  </si>
  <si>
    <t>ø</t>
  </si>
  <si>
    <t>Conductor size</t>
  </si>
  <si>
    <t>Conductor qty</t>
  </si>
  <si>
    <t>OD1</t>
  </si>
  <si>
    <t>OD2</t>
  </si>
  <si>
    <t>±3</t>
  </si>
  <si>
    <t>Weight</t>
  </si>
  <si>
    <t>Layer</t>
  </si>
  <si>
    <t>Edge strip</t>
  </si>
  <si>
    <t>DDP</t>
  </si>
  <si>
    <t>Insu. Wei</t>
  </si>
  <si>
    <t>HV CD1 SIZE</t>
  </si>
  <si>
    <t>HV CD1 STICKS</t>
  </si>
  <si>
    <t>HV CD1 POS</t>
  </si>
  <si>
    <t>Barrier</t>
  </si>
  <si>
    <t>Size</t>
  </si>
  <si>
    <t>stick barrier</t>
  </si>
  <si>
    <t>ddp</t>
  </si>
  <si>
    <t>tol</t>
  </si>
  <si>
    <t>11-100-250</t>
  </si>
  <si>
    <t>11-400-1000</t>
  </si>
  <si>
    <t>33-100-250</t>
  </si>
  <si>
    <t>33-400-1000</t>
  </si>
  <si>
    <t>(</t>
  </si>
  <si>
    <t>+</t>
  </si>
  <si>
    <t>)</t>
  </si>
  <si>
    <t>Arguments</t>
  </si>
  <si>
    <t>HV CD2 SIZE</t>
  </si>
  <si>
    <t>HV CD2 STICKS</t>
  </si>
  <si>
    <t>HV CD2 POS</t>
  </si>
  <si>
    <t>Tol</t>
  </si>
  <si>
    <t>LAYER</t>
  </si>
  <si>
    <t>END FILL ON TOP</t>
  </si>
  <si>
    <t>TURNS/LAYER</t>
  </si>
  <si>
    <t>LV Foil qty.</t>
  </si>
  <si>
    <t>Cooling duct</t>
  </si>
  <si>
    <t>0.15DDP</t>
  </si>
  <si>
    <t>GUARANTEED NLL</t>
  </si>
  <si>
    <t>FLUX DENSITY</t>
  </si>
  <si>
    <t>Insulation</t>
  </si>
  <si>
    <t>Paper</t>
  </si>
  <si>
    <t>Insulation type &lt;Paper/Strip&gt;</t>
  </si>
  <si>
    <t>Strip</t>
  </si>
  <si>
    <t>Insulation thickness for production process</t>
  </si>
  <si>
    <t>Practical start insulation</t>
  </si>
  <si>
    <t>Practical end insulation</t>
  </si>
  <si>
    <t>For 2 layers from inner and outer surface of coil</t>
  </si>
  <si>
    <t>Resistance (Coil) AT NOMINAL TAPPING</t>
  </si>
  <si>
    <t>Insu. Thk Strip</t>
  </si>
  <si>
    <t>end Insu. Thk Strip</t>
  </si>
  <si>
    <t>Insu. Thk Paper</t>
  </si>
  <si>
    <t>end Insu. Thk Paper</t>
  </si>
  <si>
    <t>0x0.15DDP</t>
  </si>
  <si>
    <t>1x0.15DDP</t>
  </si>
  <si>
    <t>2x0.15DDP</t>
  </si>
  <si>
    <t>3x0.15DDP</t>
  </si>
  <si>
    <t>4x0.15DDP</t>
  </si>
  <si>
    <t>5x0.15DDP</t>
  </si>
  <si>
    <t>6x0.15DDP</t>
  </si>
  <si>
    <t>7x0.15DDP</t>
  </si>
  <si>
    <t>8x0.15DDP</t>
  </si>
  <si>
    <t>9x0.15DDP</t>
  </si>
  <si>
    <t>10x0.15DDP</t>
  </si>
  <si>
    <t>0x0.25DDP</t>
  </si>
  <si>
    <t>1x0.25DDP</t>
  </si>
  <si>
    <t>2x0.25DDP</t>
  </si>
  <si>
    <t>3x0.25DDP</t>
  </si>
  <si>
    <t>4x0.25DDP</t>
  </si>
  <si>
    <t>5x0.25DDP</t>
  </si>
  <si>
    <t>6x0.25DDP</t>
  </si>
  <si>
    <t>7x0.25DDP</t>
  </si>
  <si>
    <t>8x0.25DDP</t>
  </si>
  <si>
    <t>9x0.25DDP</t>
  </si>
  <si>
    <t>10x0.25DDP</t>
  </si>
  <si>
    <t>END FILL ON BOTTOM</t>
  </si>
  <si>
    <t>4&amp;5</t>
  </si>
  <si>
    <t>Core actual long side ID</t>
  </si>
  <si>
    <t xml:space="preserve">Insulation weight </t>
  </si>
  <si>
    <t>Conductor weight</t>
  </si>
  <si>
    <t xml:space="preserve">END </t>
  </si>
  <si>
    <t>START</t>
  </si>
  <si>
    <t>AV</t>
  </si>
  <si>
    <t xml:space="preserve"> (+1/-1)</t>
  </si>
  <si>
    <t>LV COIL RESISTANCE:</t>
  </si>
  <si>
    <t>HV COIL RESISTANCE:</t>
  </si>
  <si>
    <t>TAP POSITION</t>
  </si>
  <si>
    <t>LOWER MARGIN</t>
  </si>
  <si>
    <t>UPPER MARGIN</t>
  </si>
  <si>
    <t>HV Line Voltage</t>
  </si>
  <si>
    <t>=</t>
  </si>
  <si>
    <t>V</t>
  </si>
  <si>
    <t>LV Line Voltage</t>
  </si>
  <si>
    <t>Vector Group</t>
  </si>
  <si>
    <t>Dyn11</t>
  </si>
  <si>
    <t>Above the nominal</t>
  </si>
  <si>
    <t>Below the nominal</t>
  </si>
  <si>
    <t>(Total should be maximum 7 including nominal)</t>
  </si>
  <si>
    <t>hgfhf</t>
  </si>
  <si>
    <t>Step</t>
  </si>
  <si>
    <t>%</t>
  </si>
  <si>
    <t>Ratio</t>
  </si>
  <si>
    <t>Nominal is at</t>
  </si>
  <si>
    <t>YNyn0</t>
  </si>
  <si>
    <t>Dd0</t>
  </si>
  <si>
    <t>YNd1</t>
  </si>
  <si>
    <t>Dyn1</t>
  </si>
  <si>
    <t>Dd2</t>
  </si>
  <si>
    <t>Dd4</t>
  </si>
  <si>
    <t>YNd5</t>
  </si>
  <si>
    <t>Dyn5</t>
  </si>
  <si>
    <t>YNyn6</t>
  </si>
  <si>
    <t>Dd6</t>
  </si>
  <si>
    <t>YNd7</t>
  </si>
  <si>
    <t>Dyn7</t>
  </si>
  <si>
    <t>YNd11</t>
  </si>
  <si>
    <t>Dd8</t>
  </si>
  <si>
    <t>Dd10</t>
  </si>
  <si>
    <t>"</t>
  </si>
  <si>
    <t>d</t>
  </si>
  <si>
    <t>TAP</t>
  </si>
  <si>
    <t>Turns Nominal.</t>
  </si>
  <si>
    <t>6</t>
  </si>
  <si>
    <t>7</t>
  </si>
  <si>
    <t>4/5</t>
  </si>
  <si>
    <t>3</t>
  </si>
  <si>
    <t>2</t>
  </si>
  <si>
    <t>2022.10.19</t>
  </si>
  <si>
    <t>Active part calculations automated</t>
  </si>
  <si>
    <t>Description</t>
  </si>
  <si>
    <t>Release</t>
  </si>
  <si>
    <t>Date</t>
  </si>
  <si>
    <t>CONTRACT</t>
  </si>
  <si>
    <t xml:space="preserve"> (+0.5/-0)</t>
  </si>
  <si>
    <t>2023.01.10</t>
  </si>
  <si>
    <t>Error in LV &amp; HV CD Position rectified</t>
  </si>
  <si>
    <t>●</t>
  </si>
  <si>
    <t>●●</t>
  </si>
  <si>
    <t>●●●</t>
  </si>
  <si>
    <t>○</t>
  </si>
  <si>
    <t>○○</t>
  </si>
  <si>
    <t>○○○</t>
  </si>
  <si>
    <t>2023.04.11</t>
  </si>
  <si>
    <t>Error in LV Layer calculation rectified</t>
  </si>
  <si>
    <t>CT-2306</t>
  </si>
  <si>
    <t>LAKDHANAVI LIMITED</t>
  </si>
  <si>
    <t>CONTRACT NUMBER</t>
  </si>
  <si>
    <t>Field</t>
  </si>
  <si>
    <t>Value</t>
  </si>
  <si>
    <t>Value-1</t>
  </si>
  <si>
    <t>Value-2</t>
  </si>
  <si>
    <t>Value-3</t>
  </si>
  <si>
    <t>Value-4</t>
  </si>
  <si>
    <t>Value-5</t>
  </si>
  <si>
    <t>Value-6</t>
  </si>
  <si>
    <t>Value-7</t>
  </si>
  <si>
    <t>Value-8</t>
  </si>
  <si>
    <t>Value-9</t>
  </si>
  <si>
    <t>Value-10</t>
  </si>
  <si>
    <t>Value-11</t>
  </si>
  <si>
    <t>Value-12</t>
  </si>
  <si>
    <t>Value-13</t>
  </si>
  <si>
    <t>Value-14</t>
  </si>
  <si>
    <t>Value-15</t>
  </si>
  <si>
    <t>Value-16</t>
  </si>
  <si>
    <t>Value-17</t>
  </si>
  <si>
    <t>Value-18</t>
  </si>
  <si>
    <t>Value-19</t>
  </si>
  <si>
    <t>Value-20</t>
  </si>
  <si>
    <t>Value-21</t>
  </si>
  <si>
    <t>Value-22</t>
  </si>
  <si>
    <t>Value-23</t>
  </si>
  <si>
    <t>Value-24</t>
  </si>
  <si>
    <t>Value-25</t>
  </si>
  <si>
    <t>Value-26</t>
  </si>
  <si>
    <t>Value-27</t>
  </si>
  <si>
    <t>Value-28</t>
  </si>
  <si>
    <t>Value-29</t>
  </si>
  <si>
    <t>Value-30</t>
  </si>
  <si>
    <t>Data File Name</t>
  </si>
  <si>
    <t>\LTL</t>
  </si>
  <si>
    <t>Transformer</t>
  </si>
  <si>
    <t>Design</t>
  </si>
  <si>
    <t>6100\ReportVB.dat</t>
  </si>
  <si>
    <t>DATE</t>
  </si>
  <si>
    <t>2023.02.22</t>
  </si>
  <si>
    <t>LIQUID</t>
  </si>
  <si>
    <t>TYPE</t>
  </si>
  <si>
    <t>TRANSFORMER</t>
  </si>
  <si>
    <t>CALCULATION</t>
  </si>
  <si>
    <t>(Version</t>
  </si>
  <si>
    <t>6.10.0)</t>
  </si>
  <si>
    <t>Time</t>
  </si>
  <si>
    <t>ORDER</t>
  </si>
  <si>
    <t>DESIGN</t>
  </si>
  <si>
    <t>Data</t>
  </si>
  <si>
    <t>Set</t>
  </si>
  <si>
    <t>ENGINEER</t>
  </si>
  <si>
    <t>Akila</t>
  </si>
  <si>
    <t>CUSTOMER</t>
  </si>
  <si>
    <t>NAME</t>
  </si>
  <si>
    <t>KVA</t>
  </si>
  <si>
    <t>Liquid</t>
  </si>
  <si>
    <t>Type</t>
  </si>
  <si>
    <t>ONAN</t>
  </si>
  <si>
    <t>Cooling</t>
  </si>
  <si>
    <t>Rise</t>
  </si>
  <si>
    <t>Three</t>
  </si>
  <si>
    <t>Phase</t>
  </si>
  <si>
    <t>Hz</t>
  </si>
  <si>
    <t>Style</t>
  </si>
  <si>
    <t>Number</t>
  </si>
  <si>
    <t>EU2021</t>
  </si>
  <si>
    <t>TC</t>
  </si>
  <si>
    <t>Off</t>
  </si>
  <si>
    <t>load</t>
  </si>
  <si>
    <t>Tap</t>
  </si>
  <si>
    <t>Changer</t>
  </si>
  <si>
    <t>BIL</t>
  </si>
  <si>
    <t>(Delta)</t>
  </si>
  <si>
    <t>Line</t>
  </si>
  <si>
    <t>Coil</t>
  </si>
  <si>
    <t>Amps</t>
  </si>
  <si>
    <t>(Wye)</t>
  </si>
  <si>
    <t>Core Design.......</t>
  </si>
  <si>
    <t>OVAL</t>
  </si>
  <si>
    <t>IY</t>
  </si>
  <si>
    <t>Mitered</t>
  </si>
  <si>
    <t>Diagonal Dimension</t>
  </si>
  <si>
    <t>Step 1</t>
  </si>
  <si>
    <t>Grade/Frame Type..</t>
  </si>
  <si>
    <t>23ZDKH</t>
  </si>
  <si>
    <t>Leg</t>
  </si>
  <si>
    <t>Window Height.....</t>
  </si>
  <si>
    <t>Step 2</t>
  </si>
  <si>
    <t>INDUCTION.........</t>
  </si>
  <si>
    <t>Tesla</t>
  </si>
  <si>
    <t>Center to Center..</t>
  </si>
  <si>
    <t>Step 3</t>
  </si>
  <si>
    <t>VPT, W/kg, PBase..</t>
  </si>
  <si>
    <t>Gross/Net CSA.....</t>
  </si>
  <si>
    <t>cm2</t>
  </si>
  <si>
    <t>Step 4</t>
  </si>
  <si>
    <t>100 % Exc Current.</t>
  </si>
  <si>
    <t>Weight of Core-Leg</t>
  </si>
  <si>
    <t>Step 5</t>
  </si>
  <si>
    <t>Sound/Natural Freq</t>
  </si>
  <si>
    <t>db</t>
  </si>
  <si>
    <t>Weight of Yoke....</t>
  </si>
  <si>
    <t>Step 6</t>
  </si>
  <si>
    <t>Peak HV Inrush Cur</t>
  </si>
  <si>
    <t>amp</t>
  </si>
  <si>
    <t>Core Net Weight...</t>
  </si>
  <si>
    <t>Step 7</t>
  </si>
  <si>
    <t>Utilization Factor</t>
  </si>
  <si>
    <t>Core Scrap Weight.</t>
  </si>
  <si>
    <t>Step 8</t>
  </si>
  <si>
    <t>Standard Core No..</t>
  </si>
  <si>
    <t>NONE</t>
  </si>
  <si>
    <t>STANDARD</t>
  </si>
  <si>
    <t>Core Gross Weight.</t>
  </si>
  <si>
    <t>Step 9</t>
  </si>
  <si>
    <t>Ovality Factor....</t>
  </si>
  <si>
    <t>Step Lead Allow...</t>
  </si>
  <si>
    <t>Main Step Lead Add</t>
  </si>
  <si>
    <t>Core Perimeter....</t>
  </si>
  <si>
    <t>Delta Build.......</t>
  </si>
  <si>
    <t>Adjusted Widths...</t>
  </si>
  <si>
    <t>Adjusted Builds...</t>
  </si>
  <si>
    <t>(Delta</t>
  </si>
  <si>
    <t>Build</t>
  </si>
  <si>
    <t>101.42)</t>
  </si>
  <si>
    <t>Type of Coil......</t>
  </si>
  <si>
    <t>CU</t>
  </si>
  <si>
    <t>Foil</t>
  </si>
  <si>
    <t>Coil-Length.......</t>
  </si>
  <si>
    <t>ELECT LENGTH......</t>
  </si>
  <si>
    <t>TURNS PER COIL....</t>
  </si>
  <si>
    <t>Inside Dimensions.</t>
  </si>
  <si>
    <t>Strip-#x#x Wd x Tk</t>
  </si>
  <si>
    <t>CURRENT DENSITY...</t>
  </si>
  <si>
    <t>mm2</t>
  </si>
  <si>
    <t>Outside Dimensions</t>
  </si>
  <si>
    <t>Cond/Lead Weight..</t>
  </si>
  <si>
    <t>Inner Perimeter...</t>
  </si>
  <si>
    <t>Cooling Ducts Tk/#</t>
  </si>
  <si>
    <t>Rad Blds (H,Leg,L)</t>
  </si>
  <si>
    <t>Lay/Trn/Duc Wts...</t>
  </si>
  <si>
    <t>Eff No Cool Ducts.</t>
  </si>
  <si>
    <t>Axial Allowance...</t>
  </si>
  <si>
    <t>Total Insul Weight</t>
  </si>
  <si>
    <t>Short-Circuit Curr</t>
  </si>
  <si>
    <t>Amp.</t>
  </si>
  <si>
    <t>Num Support Sticks</t>
  </si>
  <si>
    <t>Mean Turn Length..</t>
  </si>
  <si>
    <t>Lead</t>
  </si>
  <si>
    <t>Wd</t>
  </si>
  <si>
    <t>Tk..</t>
  </si>
  <si>
    <t>Total Coil Weight.</t>
  </si>
  <si>
    <t>Max Turn Lth Buckl</t>
  </si>
  <si>
    <t>Bus Bar</t>
  </si>
  <si>
    <t>Layer Insul Tk....</t>
  </si>
  <si>
    <t>T-RISE/GRADIENT...</t>
  </si>
  <si>
    <t>deg</t>
  </si>
  <si>
    <t>Watts/sq m .......</t>
  </si>
  <si>
    <t>Resistance (Coil).</t>
  </si>
  <si>
    <t>@</t>
  </si>
  <si>
    <t>Turn CSA .........</t>
  </si>
  <si>
    <t>Conductor Dims....</t>
  </si>
  <si>
    <t>Specified</t>
  </si>
  <si>
    <t>Wound</t>
  </si>
  <si>
    <t>Cond Mec/Elec Lgth</t>
  </si>
  <si>
    <t>Conductor.........</t>
  </si>
  <si>
    <t>Round</t>
  </si>
  <si>
    <t>Cond-Dim Per Turn.</t>
  </si>
  <si>
    <t>Turns Tot./Nominal</t>
  </si>
  <si>
    <t>Cond Area Per Turn</t>
  </si>
  <si>
    <t>HV Conductor Wt...</t>
  </si>
  <si>
    <t>Add Rad Allowance.</t>
  </si>
  <si>
    <t>Layer/Turn Ins Bd.</t>
  </si>
  <si>
    <t>Insulation Weight.</t>
  </si>
  <si>
    <t>LayIns Tk.........</t>
  </si>
  <si>
    <t>(10</t>
  </si>
  <si>
    <t>Full)</t>
  </si>
  <si>
    <t>LayIns RB W/OvBld.</t>
  </si>
  <si>
    <t>Average LayIns Tk.</t>
  </si>
  <si>
    <t># Sup Pts/Ax All..</t>
  </si>
  <si>
    <t># Lay</t>
  </si>
  <si>
    <t>Ma</t>
  </si>
  <si>
    <t>Min</t>
  </si>
  <si>
    <t>tpl</t>
  </si>
  <si>
    <t>*</t>
  </si>
  <si>
    <t>Axial Sections....</t>
  </si>
  <si>
    <t>Layer-Layer Volts.</t>
  </si>
  <si>
    <t>Standard</t>
  </si>
  <si>
    <t>LV to Core Leg(mm)</t>
  </si>
  <si>
    <t>LV Cond to Yoke...</t>
  </si>
  <si>
    <t>Total HV-LV Offset</t>
  </si>
  <si>
    <t>Eff Hi-Lo ElecSpan</t>
  </si>
  <si>
    <t>Ph-Ph Elec Spacing</t>
  </si>
  <si>
    <t>Max LV Sup Span...</t>
  </si>
  <si>
    <t>HV-HSide/HV-LSide.</t>
  </si>
  <si>
    <t>HV-Ends...........</t>
  </si>
  <si>
    <t>Yoke-Case Top/Bot.</t>
  </si>
  <si>
    <t>HV Fixed Gap......</t>
  </si>
  <si>
    <t>Netw.Short Cir.Cap</t>
  </si>
  <si>
    <t>MVA</t>
  </si>
  <si>
    <t>E Rnd Wire</t>
  </si>
  <si>
    <t>AL</t>
  </si>
  <si>
    <t>CU.</t>
  </si>
  <si>
    <t>Core Cost.........</t>
  </si>
  <si>
    <t>Wdg Rise Limit....</t>
  </si>
  <si>
    <t>Rect Wire</t>
  </si>
  <si>
    <t>Al</t>
  </si>
  <si>
    <t>Cu.</t>
  </si>
  <si>
    <t>Turn/Lay/DD Insul.</t>
  </si>
  <si>
    <t>Top Oil Rise Limit</t>
  </si>
  <si>
    <t>Foil Cond</t>
  </si>
  <si>
    <t>CU..</t>
  </si>
  <si>
    <t>Mineral/Silicone..</t>
  </si>
  <si>
    <t>Max No Load/Load..</t>
  </si>
  <si>
    <t>LME/1000 (CU/AL)..</t>
  </si>
  <si>
    <t>Case Steel/Cooling</t>
  </si>
  <si>
    <t>Active Part Weight</t>
  </si>
  <si>
    <t>C&amp;C Dim</t>
  </si>
  <si>
    <t>Ht</t>
  </si>
  <si>
    <t>Lgth..</t>
  </si>
  <si>
    <t>Clamp &amp; Brace Wt..</t>
  </si>
  <si>
    <t>H-L Barrier Weight</t>
  </si>
  <si>
    <t>Mineral Oil Weight</t>
  </si>
  <si>
    <t>Ribs-Press/Weight.</t>
  </si>
  <si>
    <t>kp</t>
  </si>
  <si>
    <t>Rib Height</t>
  </si>
  <si>
    <t>Bus bar/TC Weight.</t>
  </si>
  <si>
    <t>Rib Pitch</t>
  </si>
  <si>
    <t>No of Ribs</t>
  </si>
  <si>
    <t>Cov/Case &amp; Cooling</t>
  </si>
  <si>
    <t>Rib Depth</t>
  </si>
  <si>
    <t>Rib Pan Wd</t>
  </si>
  <si>
    <t>Total Weight......</t>
  </si>
  <si>
    <t>Rib Thick</t>
  </si>
  <si>
    <t>Case</t>
  </si>
  <si>
    <t>Lt</t>
  </si>
  <si>
    <t>Ht(mm)</t>
  </si>
  <si>
    <t>HV / LV Coil Cost.</t>
  </si>
  <si>
    <t>Labor &amp; VOH/Hours.</t>
  </si>
  <si>
    <t>Case/Cooling Cost.</t>
  </si>
  <si>
    <t>Bracing Cost......</t>
  </si>
  <si>
    <t>Design Matl-Cost..</t>
  </si>
  <si>
    <t>Mineral Oil.......</t>
  </si>
  <si>
    <t>Assy and Misc.....</t>
  </si>
  <si>
    <t>Variable Cost.....</t>
  </si>
  <si>
    <t>EVALUATED LOSSES..</t>
  </si>
  <si>
    <t>EVALUATED COST....</t>
  </si>
  <si>
    <t>RECOMMENDED PRICE.</t>
  </si>
  <si>
    <t>HV Wdg DC Losses..</t>
  </si>
  <si>
    <t>Watts</t>
  </si>
  <si>
    <t>LV Wdg DC Losses..</t>
  </si>
  <si>
    <t>HV Watts (% Eddy).</t>
  </si>
  <si>
    <t>5.5)</t>
  </si>
  <si>
    <t>LV Watts (% Eddy).</t>
  </si>
  <si>
    <t>4.4)</t>
  </si>
  <si>
    <t>LV Bus Bar / Stray</t>
  </si>
  <si>
    <t>No Load Losses....</t>
  </si>
  <si>
    <t>Tot-Ld Watts(%Ed).</t>
  </si>
  <si>
    <t>8.9)</t>
  </si>
  <si>
    <t>Total Losses(ONAN)</t>
  </si>
  <si>
    <t>% X / % R / % Lead</t>
  </si>
  <si>
    <t>% Z (HV-LV-Lead)..</t>
  </si>
  <si>
    <t>TOP OIL RISE......</t>
  </si>
  <si>
    <t>% Z Guaranteed....</t>
  </si>
  <si>
    <t>NOTES</t>
  </si>
  <si>
    <t>ial</t>
  </si>
  <si>
    <t>Rad</t>
  </si>
  <si>
    <t>Factors</t>
  </si>
  <si>
    <t>Factor</t>
  </si>
  <si>
    <t>OPT</t>
  </si>
  <si>
    <t>By</t>
  </si>
  <si>
    <t>(Min</t>
  </si>
  <si>
    <t>Evaluated</t>
  </si>
  <si>
    <t>Cost</t>
  </si>
  <si>
    <t>MARG/MULT.</t>
  </si>
  <si>
    <t>Top</t>
  </si>
  <si>
    <t>Oil=</t>
  </si>
  <si>
    <t>H=</t>
  </si>
  <si>
    <t>L=</t>
  </si>
  <si>
    <t>T=</t>
  </si>
  <si>
    <t>Core=</t>
  </si>
  <si>
    <t>BusB=</t>
  </si>
  <si>
    <t>Eddy</t>
  </si>
  <si>
    <t>Stray=</t>
  </si>
  <si>
    <t>CORE</t>
  </si>
  <si>
    <t>Std(NO</t>
  </si>
  <si>
    <t>Wds(YES)</t>
  </si>
  <si>
    <t>C(NO</t>
  </si>
  <si>
    <t>Diag(NO</t>
  </si>
  <si>
    <t>COND</t>
  </si>
  <si>
    <t>Tk(NO</t>
  </si>
  <si>
    <t>CLEAR</t>
  </si>
  <si>
    <t>Wdg(NO</t>
  </si>
  <si>
    <t>CASE</t>
  </si>
  <si>
    <t>CALC</t>
  </si>
  <si>
    <t>Sh</t>
  </si>
  <si>
    <t>Cir(YES)</t>
  </si>
  <si>
    <t>Circuit Load Factors</t>
  </si>
  <si>
    <t>HV=</t>
  </si>
  <si>
    <t>LV=</t>
  </si>
  <si>
    <t>TV=</t>
  </si>
  <si>
    <t>Using LTL Core Loss Calculation Technical Standard</t>
  </si>
  <si>
    <t>&lt;</t>
  </si>
  <si>
    <t>YES</t>
  </si>
  <si>
    <t>&gt;</t>
  </si>
  <si>
    <t>Using LTL Load Loss Calculation Technical Standard</t>
  </si>
  <si>
    <t>NO</t>
  </si>
  <si>
    <t>Impedance Model</t>
  </si>
  <si>
    <t>Convensional</t>
  </si>
  <si>
    <t>Tapping Turns @.......</t>
  </si>
  <si>
    <t>Values auto updated via design copy-paste</t>
  </si>
  <si>
    <t>2023.04.14</t>
  </si>
  <si>
    <t>Prashanth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</si>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</sst>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color rgb="FFFF000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1"/>
      <name val="Abadi Extra Light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8" fillId="0" borderId="0"/>
    <xf numFmtId="0" fontId="22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left"/>
    </xf>
    <xf numFmtId="2" fontId="0" fillId="0" borderId="0" xfId="0" applyNumberFormat="1"/>
    <xf numFmtId="0" fontId="9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1" fontId="3" fillId="0" borderId="0" xfId="0" applyNumberFormat="1" applyFont="1"/>
    <xf numFmtId="1" fontId="3" fillId="2" borderId="0" xfId="0" applyNumberFormat="1" applyFont="1" applyFill="1"/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/>
    <xf numFmtId="1" fontId="0" fillId="0" borderId="0" xfId="0" applyNumberForma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6" fillId="2" borderId="0" xfId="0" applyFont="1" applyFill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164" fontId="10" fillId="0" borderId="0" xfId="0" applyNumberFormat="1" applyFont="1"/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top"/>
    </xf>
    <xf numFmtId="0" fontId="17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165" fontId="12" fillId="0" borderId="0" xfId="0" applyNumberFormat="1" applyFont="1" applyAlignment="1">
      <alignment horizontal="center"/>
    </xf>
    <xf numFmtId="1" fontId="13" fillId="0" borderId="1" xfId="0" applyNumberFormat="1" applyFont="1" applyBorder="1"/>
    <xf numFmtId="0" fontId="12" fillId="0" borderId="0" xfId="0" applyFont="1" applyAlignment="1">
      <alignment vertical="center"/>
    </xf>
    <xf numFmtId="164" fontId="15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6" fillId="0" borderId="0" xfId="0" applyFont="1"/>
    <xf numFmtId="0" fontId="20" fillId="3" borderId="0" xfId="0" applyFont="1" applyFill="1"/>
    <xf numFmtId="0" fontId="16" fillId="0" borderId="0" xfId="0" applyFont="1" applyAlignment="1">
      <alignment horizontal="center"/>
    </xf>
    <xf numFmtId="0" fontId="16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1" fontId="9" fillId="2" borderId="0" xfId="0" applyNumberFormat="1" applyFont="1" applyFill="1" applyAlignment="1">
      <alignment horizontal="left" vertical="center"/>
    </xf>
    <xf numFmtId="1" fontId="9" fillId="2" borderId="0" xfId="0" applyNumberFormat="1" applyFont="1" applyFill="1" applyAlignment="1">
      <alignment horizontal="center"/>
    </xf>
    <xf numFmtId="1" fontId="9" fillId="2" borderId="0" xfId="0" applyNumberFormat="1" applyFont="1" applyFill="1" applyAlignment="1">
      <alignment horizontal="center" vertical="center"/>
    </xf>
    <xf numFmtId="1" fontId="9" fillId="0" borderId="0" xfId="0" applyNumberFormat="1" applyFont="1" applyAlignment="1">
      <alignment horizontal="center" vertical="center" wrapText="1"/>
    </xf>
    <xf numFmtId="1" fontId="9" fillId="0" borderId="3" xfId="0" applyNumberFormat="1" applyFont="1" applyBorder="1" applyAlignment="1">
      <alignment horizontal="left"/>
    </xf>
    <xf numFmtId="1" fontId="21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2" borderId="1" xfId="0" applyFont="1" applyFill="1" applyBorder="1" applyAlignment="1">
      <alignment horizontal="center"/>
    </xf>
    <xf numFmtId="0" fontId="23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611F96-250F-4E2A-9DB0-2585ACB09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1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33</xdr:row>
      <xdr:rowOff>133351</xdr:rowOff>
    </xdr:from>
    <xdr:to>
      <xdr:col>6</xdr:col>
      <xdr:colOff>161924</xdr:colOff>
      <xdr:row>35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90975" y="6038851"/>
          <a:ext cx="1866899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Cooling Duct - 0,0.33, 0.67,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104775</xdr:colOff>
      <xdr:row>38</xdr:row>
      <xdr:rowOff>0</xdr:rowOff>
    </xdr:from>
    <xdr:to>
      <xdr:col>5</xdr:col>
      <xdr:colOff>295274</xdr:colOff>
      <xdr:row>39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000375" y="6667500"/>
          <a:ext cx="14096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Earth shield =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 or 0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104775</xdr:colOff>
      <xdr:row>23</xdr:row>
      <xdr:rowOff>104775</xdr:rowOff>
    </xdr:from>
    <xdr:to>
      <xdr:col>5</xdr:col>
      <xdr:colOff>295274</xdr:colOff>
      <xdr:row>25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71925" y="4105275"/>
          <a:ext cx="14096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Value or 0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114299</xdr:colOff>
      <xdr:row>35</xdr:row>
      <xdr:rowOff>76200</xdr:rowOff>
    </xdr:from>
    <xdr:to>
      <xdr:col>6</xdr:col>
      <xdr:colOff>161924</xdr:colOff>
      <xdr:row>36</xdr:row>
      <xdr:rowOff>171449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981449" y="6362700"/>
          <a:ext cx="18764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Cooling Duct - 0,0.33, 0.67,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85725</xdr:colOff>
      <xdr:row>44</xdr:row>
      <xdr:rowOff>57150</xdr:rowOff>
    </xdr:from>
    <xdr:to>
      <xdr:col>5</xdr:col>
      <xdr:colOff>581025</xdr:colOff>
      <xdr:row>45</xdr:row>
      <xdr:rowOff>152399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952875" y="8058150"/>
          <a:ext cx="1714500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Cooling Duct - 0.33, 0.67,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200854</xdr:colOff>
      <xdr:row>58</xdr:row>
      <xdr:rowOff>115128</xdr:rowOff>
    </xdr:from>
    <xdr:to>
      <xdr:col>6</xdr:col>
      <xdr:colOff>83241</xdr:colOff>
      <xdr:row>60</xdr:row>
      <xdr:rowOff>44725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68753B-482F-4DA3-95F0-D9D25C72F725}"/>
            </a:ext>
          </a:extLst>
        </xdr:cNvPr>
        <xdr:cNvSpPr txBox="1"/>
      </xdr:nvSpPr>
      <xdr:spPr>
        <a:xfrm>
          <a:off x="4996484" y="9722954"/>
          <a:ext cx="1721127" cy="260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CORE DRAWING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51972</xdr:colOff>
      <xdr:row>3</xdr:row>
      <xdr:rowOff>64781</xdr:rowOff>
    </xdr:from>
    <xdr:to>
      <xdr:col>5</xdr:col>
      <xdr:colOff>149837</xdr:colOff>
      <xdr:row>11</xdr:row>
      <xdr:rowOff>127345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872" y="493406"/>
          <a:ext cx="1078940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18</xdr:row>
      <xdr:rowOff>91587</xdr:rowOff>
    </xdr:from>
    <xdr:to>
      <xdr:col>5</xdr:col>
      <xdr:colOff>144300</xdr:colOff>
      <xdr:row>26</xdr:row>
      <xdr:rowOff>154151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862" y="3196737"/>
          <a:ext cx="1081413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33</xdr:row>
      <xdr:rowOff>80596</xdr:rowOff>
    </xdr:from>
    <xdr:to>
      <xdr:col>5</xdr:col>
      <xdr:colOff>141370</xdr:colOff>
      <xdr:row>41</xdr:row>
      <xdr:rowOff>143160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862" y="5862271"/>
          <a:ext cx="1078483" cy="1586564"/>
        </a:xfrm>
        <a:prstGeom prst="rect">
          <a:avLst/>
        </a:prstGeom>
      </xdr:spPr>
    </xdr:pic>
    <xdr:clientData/>
  </xdr:twoCellAnchor>
  <xdr:twoCellAnchor editAs="oneCell">
    <xdr:from>
      <xdr:col>14</xdr:col>
      <xdr:colOff>70403</xdr:colOff>
      <xdr:row>3</xdr:row>
      <xdr:rowOff>11926</xdr:rowOff>
    </xdr:from>
    <xdr:to>
      <xdr:col>18</xdr:col>
      <xdr:colOff>136920</xdr:colOff>
      <xdr:row>11</xdr:row>
      <xdr:rowOff>173556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9053" y="440551"/>
          <a:ext cx="1438118" cy="168563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</xdr:row>
      <xdr:rowOff>133350</xdr:rowOff>
    </xdr:from>
    <xdr:to>
      <xdr:col>10</xdr:col>
      <xdr:colOff>228600</xdr:colOff>
      <xdr:row>10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95525" y="1133475"/>
          <a:ext cx="26098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= INNER PERIMETER + 20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- 2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sz="1100" baseline="0">
              <a:solidFill>
                <a:srgbClr val="C00000"/>
              </a:solidFill>
            </a:rPr>
            <a:t> (5-1000)kVA = 1 /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(1000-2500)kVA = 2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rgbClr val="C0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(IF('sh1'!C3&gt;1000,"2","1"))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47625</xdr:colOff>
      <xdr:row>20</xdr:row>
      <xdr:rowOff>123825</xdr:rowOff>
    </xdr:from>
    <xdr:to>
      <xdr:col>10</xdr:col>
      <xdr:colOff>219075</xdr:colOff>
      <xdr:row>24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286000" y="3990975"/>
          <a:ext cx="26098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-2  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LV</a:t>
          </a:r>
          <a:r>
            <a:rPr lang="en-US" sz="1100" baseline="0">
              <a:solidFill>
                <a:srgbClr val="C00000"/>
              </a:solidFill>
            </a:rPr>
            <a:t> LEAD WIDTH</a:t>
          </a:r>
          <a:r>
            <a:rPr lang="en-US" sz="1100">
              <a:solidFill>
                <a:srgbClr val="C00000"/>
              </a:solidFill>
            </a:rPr>
            <a:t> + 15                                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 → (5-1000)kVA = 1 / (1000-5000)kVA = 2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76200</xdr:colOff>
      <xdr:row>36</xdr:row>
      <xdr:rowOff>19050</xdr:rowOff>
    </xdr:from>
    <xdr:to>
      <xdr:col>10</xdr:col>
      <xdr:colOff>590550</xdr:colOff>
      <xdr:row>39</xdr:row>
      <xdr:rowOff>85725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314575" y="6943725"/>
          <a:ext cx="29527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+ LV LEAD WIDTH*2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LV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LEAD WIDTH + 20    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20</xdr:col>
      <xdr:colOff>66674</xdr:colOff>
      <xdr:row>5</xdr:row>
      <xdr:rowOff>85725</xdr:rowOff>
    </xdr:from>
    <xdr:to>
      <xdr:col>26</xdr:col>
      <xdr:colOff>276225</xdr:colOff>
      <xdr:row>8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8963024" y="1085850"/>
          <a:ext cx="3867151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MEAN TURN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LENGTH OF LV + 40 (ONLY WHEN 1 CD IS USED)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- 2                                       </a:t>
          </a:r>
          <a:r>
            <a:rPr lang="en-US" sz="1100" baseline="0">
              <a:solidFill>
                <a:srgbClr val="C00000"/>
              </a:solidFill>
            </a:rPr>
            <a:t>         MAX (C+H) = 4.5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51972</xdr:colOff>
      <xdr:row>2</xdr:row>
      <xdr:rowOff>64781</xdr:rowOff>
    </xdr:from>
    <xdr:to>
      <xdr:col>5</xdr:col>
      <xdr:colOff>149837</xdr:colOff>
      <xdr:row>10</xdr:row>
      <xdr:rowOff>127345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347" y="493406"/>
          <a:ext cx="1067767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17</xdr:row>
      <xdr:rowOff>91587</xdr:rowOff>
    </xdr:from>
    <xdr:to>
      <xdr:col>5</xdr:col>
      <xdr:colOff>144300</xdr:colOff>
      <xdr:row>25</xdr:row>
      <xdr:rowOff>154151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3198202"/>
          <a:ext cx="1082146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32</xdr:row>
      <xdr:rowOff>80596</xdr:rowOff>
    </xdr:from>
    <xdr:to>
      <xdr:col>5</xdr:col>
      <xdr:colOff>141370</xdr:colOff>
      <xdr:row>40</xdr:row>
      <xdr:rowOff>143160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861538"/>
          <a:ext cx="1079216" cy="1586564"/>
        </a:xfrm>
        <a:prstGeom prst="rect">
          <a:avLst/>
        </a:prstGeom>
      </xdr:spPr>
    </xdr:pic>
    <xdr:clientData/>
  </xdr:twoCellAnchor>
  <xdr:twoCellAnchor editAs="oneCell">
    <xdr:from>
      <xdr:col>25</xdr:col>
      <xdr:colOff>70403</xdr:colOff>
      <xdr:row>2</xdr:row>
      <xdr:rowOff>11926</xdr:rowOff>
    </xdr:from>
    <xdr:to>
      <xdr:col>28</xdr:col>
      <xdr:colOff>271392</xdr:colOff>
      <xdr:row>10</xdr:row>
      <xdr:rowOff>173556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0169" y="440551"/>
          <a:ext cx="1447643" cy="1685630"/>
        </a:xfrm>
        <a:prstGeom prst="rect">
          <a:avLst/>
        </a:prstGeom>
      </xdr:spPr>
    </xdr:pic>
    <xdr:clientData/>
  </xdr:twoCellAnchor>
  <xdr:twoCellAnchor editAs="oneCell">
    <xdr:from>
      <xdr:col>24</xdr:col>
      <xdr:colOff>181139</xdr:colOff>
      <xdr:row>17</xdr:row>
      <xdr:rowOff>57025</xdr:rowOff>
    </xdr:from>
    <xdr:to>
      <xdr:col>29</xdr:col>
      <xdr:colOff>291840</xdr:colOff>
      <xdr:row>25</xdr:row>
      <xdr:rowOff>123548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2748" y="3353503"/>
          <a:ext cx="2013752" cy="1590523"/>
        </a:xfrm>
        <a:prstGeom prst="rect">
          <a:avLst/>
        </a:prstGeom>
      </xdr:spPr>
    </xdr:pic>
    <xdr:clientData/>
  </xdr:twoCellAnchor>
  <xdr:oneCellAnchor>
    <xdr:from>
      <xdr:col>2</xdr:col>
      <xdr:colOff>43962</xdr:colOff>
      <xdr:row>47</xdr:row>
      <xdr:rowOff>80596</xdr:rowOff>
    </xdr:from>
    <xdr:ext cx="1074756" cy="1586564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549" y="6242857"/>
          <a:ext cx="1074756" cy="1586564"/>
        </a:xfrm>
        <a:prstGeom prst="rect">
          <a:avLst/>
        </a:prstGeom>
      </xdr:spPr>
    </xdr:pic>
    <xdr:clientData/>
  </xdr:oneCellAnchor>
  <xdr:twoCellAnchor>
    <xdr:from>
      <xdr:col>6</xdr:col>
      <xdr:colOff>95250</xdr:colOff>
      <xdr:row>35</xdr:row>
      <xdr:rowOff>28575</xdr:rowOff>
    </xdr:from>
    <xdr:to>
      <xdr:col>10</xdr:col>
      <xdr:colOff>457200</xdr:colOff>
      <xdr:row>38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2333625" y="6762750"/>
          <a:ext cx="2800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+ LV LEAD WIDTH*2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LV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LEAD WIDTH + 20 </a:t>
          </a:r>
          <a:r>
            <a:rPr lang="en-US" sz="1100">
              <a:solidFill>
                <a:srgbClr val="C00000"/>
              </a:solidFill>
            </a:rPr>
            <a:t>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1 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114300</xdr:colOff>
      <xdr:row>4</xdr:row>
      <xdr:rowOff>0</xdr:rowOff>
    </xdr:from>
    <xdr:to>
      <xdr:col>10</xdr:col>
      <xdr:colOff>476250</xdr:colOff>
      <xdr:row>7</xdr:row>
      <xdr:rowOff>66675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2352675" y="809625"/>
          <a:ext cx="2800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+ 40   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2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85725</xdr:colOff>
      <xdr:row>19</xdr:row>
      <xdr:rowOff>161925</xdr:rowOff>
    </xdr:from>
    <xdr:to>
      <xdr:col>10</xdr:col>
      <xdr:colOff>447675</xdr:colOff>
      <xdr:row>23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2324100" y="3838575"/>
          <a:ext cx="2800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+ 40   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150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142875</xdr:colOff>
      <xdr:row>5</xdr:row>
      <xdr:rowOff>76200</xdr:rowOff>
    </xdr:from>
    <xdr:to>
      <xdr:col>37</xdr:col>
      <xdr:colOff>381000</xdr:colOff>
      <xdr:row>8</xdr:row>
      <xdr:rowOff>142875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2525375" y="1076325"/>
          <a:ext cx="38957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MEAN TURN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LENGTH OF HV + 60 (ONLY WHEN 1 CD IS USED)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- 2                                       </a:t>
          </a:r>
          <a:r>
            <a:rPr lang="en-US" sz="1100" baseline="0">
              <a:solidFill>
                <a:srgbClr val="C00000"/>
              </a:solidFill>
            </a:rPr>
            <a:t>          MAX (C+H) = 4.5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152401</xdr:colOff>
      <xdr:row>19</xdr:row>
      <xdr:rowOff>104775</xdr:rowOff>
    </xdr:from>
    <xdr:to>
      <xdr:col>35</xdr:col>
      <xdr:colOff>476251</xdr:colOff>
      <xdr:row>24</xdr:row>
      <xdr:rowOff>145677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4126136" y="3780304"/>
          <a:ext cx="2744321" cy="9934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MEAN TURN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LENGTH OF WINDING + 50        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- 2                                       </a:t>
          </a:r>
          <a:r>
            <a:rPr lang="en-US" sz="1100" baseline="0">
              <a:solidFill>
                <a:srgbClr val="C00000"/>
              </a:solidFill>
            </a:rPr>
            <a:t> MAX (T+H) = 18                                                                                                      B TYPE CORRUGATED BOARD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**T &amp; H MANUALLY ENTER</a:t>
          </a:r>
          <a:endParaRPr 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104775</xdr:colOff>
      <xdr:row>50</xdr:row>
      <xdr:rowOff>0</xdr:rowOff>
    </xdr:from>
    <xdr:to>
      <xdr:col>10</xdr:col>
      <xdr:colOff>466725</xdr:colOff>
      <xdr:row>53</xdr:row>
      <xdr:rowOff>66675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343150" y="9610725"/>
          <a:ext cx="2800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MEAN TURN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LENGTH OF WINDING + 50        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- 2          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1 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11</xdr:col>
      <xdr:colOff>47625</xdr:colOff>
      <xdr:row>3</xdr:row>
      <xdr:rowOff>2041</xdr:rowOff>
    </xdr:from>
    <xdr:to>
      <xdr:col>17</xdr:col>
      <xdr:colOff>533400</xdr:colOff>
      <xdr:row>9</xdr:row>
      <xdr:rowOff>133177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621166"/>
          <a:ext cx="2495550" cy="1274136"/>
        </a:xfrm>
        <a:prstGeom prst="rect">
          <a:avLst/>
        </a:prstGeom>
      </xdr:spPr>
    </xdr:pic>
    <xdr:clientData/>
  </xdr:twoCellAnchor>
  <xdr:twoCellAnchor>
    <xdr:from>
      <xdr:col>18</xdr:col>
      <xdr:colOff>85725</xdr:colOff>
      <xdr:row>3</xdr:row>
      <xdr:rowOff>161926</xdr:rowOff>
    </xdr:from>
    <xdr:to>
      <xdr:col>21</xdr:col>
      <xdr:colOff>428625</xdr:colOff>
      <xdr:row>9</xdr:row>
      <xdr:rowOff>47626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7981950" y="781051"/>
          <a:ext cx="21717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 = TOTAL COIL HEIGHT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IF LEAD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100x10,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C00000"/>
              </a:solidFill>
              <a:effectLst/>
            </a:rPr>
            <a:t>B = 10, A =</a:t>
          </a:r>
          <a:r>
            <a:rPr lang="en-US" baseline="0">
              <a:solidFill>
                <a:srgbClr val="C00000"/>
              </a:solidFill>
              <a:effectLst/>
            </a:rPr>
            <a:t> 35, C = 30, D = 112</a:t>
          </a:r>
        </a:p>
        <a:p>
          <a:pPr eaLnBrk="1" fontAlgn="auto" latinLnBrk="0" hangingPunct="1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IF LEAD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100x20,</a:t>
          </a:r>
          <a:endParaRPr lang="en-US">
            <a:solidFill>
              <a:srgbClr val="C00000"/>
            </a:solidFill>
            <a:effectLst/>
          </a:endParaRPr>
        </a:p>
        <a:p>
          <a:pPr eaLnBrk="1" fontAlgn="auto" latinLnBrk="0" hangingPunct="1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20, A =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56, C = 44, D = 117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304800</xdr:colOff>
      <xdr:row>32</xdr:row>
      <xdr:rowOff>104775</xdr:rowOff>
    </xdr:to>
    <xdr:sp macro="" textlink="">
      <xdr:nvSpPr>
        <xdr:cNvPr id="3073" name="AutoShape 1" descr="Untitled">
          <a:extLst>
            <a:ext uri="{FF2B5EF4-FFF2-40B4-BE49-F238E27FC236}">
              <a16:creationId xmlns:a16="http://schemas.microsoft.com/office/drawing/2014/main" id="{06C16832-2F1B-83D8-F96A-125DFB78D1F4}"/>
            </a:ext>
          </a:extLst>
        </xdr:cNvPr>
        <xdr:cNvSpPr>
          <a:spLocks noChangeAspect="1" noChangeArrowheads="1"/>
        </xdr:cNvSpPr>
      </xdr:nvSpPr>
      <xdr:spPr bwMode="auto">
        <a:xfrm>
          <a:off x="9725025" y="59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51972</xdr:colOff>
      <xdr:row>2</xdr:row>
      <xdr:rowOff>64781</xdr:rowOff>
    </xdr:from>
    <xdr:to>
      <xdr:col>5</xdr:col>
      <xdr:colOff>149837</xdr:colOff>
      <xdr:row>10</xdr:row>
      <xdr:rowOff>127345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872" y="493406"/>
          <a:ext cx="1078940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17</xdr:row>
      <xdr:rowOff>91587</xdr:rowOff>
    </xdr:from>
    <xdr:to>
      <xdr:col>5</xdr:col>
      <xdr:colOff>144300</xdr:colOff>
      <xdr:row>25</xdr:row>
      <xdr:rowOff>154151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862" y="3387237"/>
          <a:ext cx="1081413" cy="1586564"/>
        </a:xfrm>
        <a:prstGeom prst="rect">
          <a:avLst/>
        </a:prstGeom>
      </xdr:spPr>
    </xdr:pic>
    <xdr:clientData/>
  </xdr:twoCellAnchor>
  <xdr:twoCellAnchor editAs="oneCell">
    <xdr:from>
      <xdr:col>11</xdr:col>
      <xdr:colOff>59595</xdr:colOff>
      <xdr:row>18</xdr:row>
      <xdr:rowOff>152400</xdr:rowOff>
    </xdr:from>
    <xdr:to>
      <xdr:col>15</xdr:col>
      <xdr:colOff>550432</xdr:colOff>
      <xdr:row>25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6770" y="3638550"/>
          <a:ext cx="2014837" cy="1238250"/>
        </a:xfrm>
        <a:prstGeom prst="rect">
          <a:avLst/>
        </a:prstGeom>
      </xdr:spPr>
    </xdr:pic>
    <xdr:clientData/>
  </xdr:twoCellAnchor>
  <xdr:twoCellAnchor editAs="oneCell">
    <xdr:from>
      <xdr:col>11</xdr:col>
      <xdr:colOff>33131</xdr:colOff>
      <xdr:row>3</xdr:row>
      <xdr:rowOff>115956</xdr:rowOff>
    </xdr:from>
    <xdr:to>
      <xdr:col>15</xdr:col>
      <xdr:colOff>559156</xdr:colOff>
      <xdr:row>10</xdr:row>
      <xdr:rowOff>19049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00306" y="735081"/>
          <a:ext cx="2050025" cy="1236593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33</xdr:row>
      <xdr:rowOff>76200</xdr:rowOff>
    </xdr:from>
    <xdr:to>
      <xdr:col>15</xdr:col>
      <xdr:colOff>371271</xdr:colOff>
      <xdr:row>41</xdr:row>
      <xdr:rowOff>161724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33875" y="6429375"/>
          <a:ext cx="1628571" cy="1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48</xdr:row>
      <xdr:rowOff>47625</xdr:rowOff>
    </xdr:from>
    <xdr:to>
      <xdr:col>15</xdr:col>
      <xdr:colOff>352221</xdr:colOff>
      <xdr:row>56</xdr:row>
      <xdr:rowOff>133149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9267825"/>
          <a:ext cx="1628571" cy="1609524"/>
        </a:xfrm>
        <a:prstGeom prst="rect">
          <a:avLst/>
        </a:prstGeom>
      </xdr:spPr>
    </xdr:pic>
    <xdr:clientData/>
  </xdr:twoCellAnchor>
  <xdr:oneCellAnchor>
    <xdr:from>
      <xdr:col>2</xdr:col>
      <xdr:colOff>51972</xdr:colOff>
      <xdr:row>33</xdr:row>
      <xdr:rowOff>64781</xdr:rowOff>
    </xdr:from>
    <xdr:ext cx="1078940" cy="1586564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197" y="493406"/>
          <a:ext cx="1078940" cy="1586564"/>
        </a:xfrm>
        <a:prstGeom prst="rect">
          <a:avLst/>
        </a:prstGeom>
      </xdr:spPr>
    </xdr:pic>
    <xdr:clientData/>
  </xdr:oneCellAnchor>
  <xdr:oneCellAnchor>
    <xdr:from>
      <xdr:col>2</xdr:col>
      <xdr:colOff>51972</xdr:colOff>
      <xdr:row>48</xdr:row>
      <xdr:rowOff>64781</xdr:rowOff>
    </xdr:from>
    <xdr:ext cx="1078940" cy="1586564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197" y="6417956"/>
          <a:ext cx="1078940" cy="1586564"/>
        </a:xfrm>
        <a:prstGeom prst="rect">
          <a:avLst/>
        </a:prstGeom>
      </xdr:spPr>
    </xdr:pic>
    <xdr:clientData/>
  </xdr:oneCellAnchor>
  <xdr:twoCellAnchor>
    <xdr:from>
      <xdr:col>6</xdr:col>
      <xdr:colOff>142875</xdr:colOff>
      <xdr:row>4</xdr:row>
      <xdr:rowOff>180976</xdr:rowOff>
    </xdr:from>
    <xdr:to>
      <xdr:col>9</xdr:col>
      <xdr:colOff>542925</xdr:colOff>
      <xdr:row>9</xdr:row>
      <xdr:rowOff>66676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2381250" y="990601"/>
          <a:ext cx="222885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CORE CC*2 + H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LARGEST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WIDTH OF CORE STEEL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2                                                            H 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LARGEST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WIDTH OF CORE STEEL               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66675</xdr:colOff>
      <xdr:row>35</xdr:row>
      <xdr:rowOff>114300</xdr:rowOff>
    </xdr:from>
    <xdr:to>
      <xdr:col>8</xdr:col>
      <xdr:colOff>542925</xdr:colOff>
      <xdr:row>38</xdr:row>
      <xdr:rowOff>57150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305050" y="6848475"/>
          <a:ext cx="1695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6</xdr:col>
      <xdr:colOff>95250</xdr:colOff>
      <xdr:row>51</xdr:row>
      <xdr:rowOff>0</xdr:rowOff>
    </xdr:from>
    <xdr:to>
      <xdr:col>8</xdr:col>
      <xdr:colOff>571500</xdr:colOff>
      <xdr:row>53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333625" y="9791700"/>
          <a:ext cx="16954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0</xdr:colOff>
      <xdr:row>65</xdr:row>
      <xdr:rowOff>64334</xdr:rowOff>
    </xdr:from>
    <xdr:to>
      <xdr:col>15</xdr:col>
      <xdr:colOff>180975</xdr:colOff>
      <xdr:row>69</xdr:row>
      <xdr:rowOff>147637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5950" y="12532559"/>
          <a:ext cx="1295400" cy="845303"/>
        </a:xfrm>
        <a:prstGeom prst="rect">
          <a:avLst/>
        </a:prstGeom>
      </xdr:spPr>
    </xdr:pic>
    <xdr:clientData/>
  </xdr:twoCellAnchor>
  <xdr:twoCellAnchor>
    <xdr:from>
      <xdr:col>16</xdr:col>
      <xdr:colOff>190500</xdr:colOff>
      <xdr:row>66</xdr:row>
      <xdr:rowOff>161925</xdr:rowOff>
    </xdr:from>
    <xdr:to>
      <xdr:col>19</xdr:col>
      <xdr:colOff>57150</xdr:colOff>
      <xdr:row>69</xdr:row>
      <xdr:rowOff>104775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7600950" y="12820650"/>
          <a:ext cx="16954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</xdr:txBody>
    </xdr:sp>
    <xdr:clientData/>
  </xdr:twoCellAnchor>
  <xdr:twoCellAnchor>
    <xdr:from>
      <xdr:col>6</xdr:col>
      <xdr:colOff>123824</xdr:colOff>
      <xdr:row>18</xdr:row>
      <xdr:rowOff>66675</xdr:rowOff>
    </xdr:from>
    <xdr:to>
      <xdr:col>10</xdr:col>
      <xdr:colOff>390525</xdr:colOff>
      <xdr:row>25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2362199" y="3552825"/>
          <a:ext cx="2705101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*WOODEN BLOCKS USED WHEN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CENTER OF THE LAST 2 STEPS ARE EQUAL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CORE CC*2 - H - 4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(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STP4 WIDTH</a:t>
          </a:r>
          <a:r>
            <a:rPr lang="en-US" sz="1100" baseline="0">
              <a:solidFill>
                <a:srgbClr val="C00000"/>
              </a:solidFill>
            </a:rPr>
            <a:t> - STP5 WIDTH)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/2                                                                     C 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STP5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BUILD               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51972</xdr:colOff>
      <xdr:row>2</xdr:row>
      <xdr:rowOff>64781</xdr:rowOff>
    </xdr:from>
    <xdr:to>
      <xdr:col>5</xdr:col>
      <xdr:colOff>149837</xdr:colOff>
      <xdr:row>10</xdr:row>
      <xdr:rowOff>127345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197" y="493406"/>
          <a:ext cx="1078940" cy="1586564"/>
        </a:xfrm>
        <a:prstGeom prst="rect">
          <a:avLst/>
        </a:prstGeom>
      </xdr:spPr>
    </xdr:pic>
    <xdr:clientData/>
  </xdr:twoCellAnchor>
  <xdr:twoCellAnchor editAs="oneCell">
    <xdr:from>
      <xdr:col>2</xdr:col>
      <xdr:colOff>43962</xdr:colOff>
      <xdr:row>20</xdr:row>
      <xdr:rowOff>91587</xdr:rowOff>
    </xdr:from>
    <xdr:to>
      <xdr:col>5</xdr:col>
      <xdr:colOff>144300</xdr:colOff>
      <xdr:row>28</xdr:row>
      <xdr:rowOff>146358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187" y="3387237"/>
          <a:ext cx="1081413" cy="1586564"/>
        </a:xfrm>
        <a:prstGeom prst="rect">
          <a:avLst/>
        </a:prstGeom>
      </xdr:spPr>
    </xdr:pic>
    <xdr:clientData/>
  </xdr:twoCellAnchor>
  <xdr:oneCellAnchor>
    <xdr:from>
      <xdr:col>2</xdr:col>
      <xdr:colOff>43962</xdr:colOff>
      <xdr:row>36</xdr:row>
      <xdr:rowOff>91587</xdr:rowOff>
    </xdr:from>
    <xdr:ext cx="1081413" cy="1586564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187" y="3958737"/>
          <a:ext cx="1081413" cy="1586564"/>
        </a:xfrm>
        <a:prstGeom prst="rect">
          <a:avLst/>
        </a:prstGeom>
      </xdr:spPr>
    </xdr:pic>
    <xdr:clientData/>
  </xdr:oneCellAnchor>
  <xdr:twoCellAnchor editAs="oneCell">
    <xdr:from>
      <xdr:col>1</xdr:col>
      <xdr:colOff>70339</xdr:colOff>
      <xdr:row>52</xdr:row>
      <xdr:rowOff>30506</xdr:rowOff>
    </xdr:from>
    <xdr:to>
      <xdr:col>5</xdr:col>
      <xdr:colOff>534607</xdr:colOff>
      <xdr:row>60</xdr:row>
      <xdr:rowOff>183174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397" y="9628775"/>
          <a:ext cx="1790441" cy="1676668"/>
        </a:xfrm>
        <a:prstGeom prst="rect">
          <a:avLst/>
        </a:prstGeom>
      </xdr:spPr>
    </xdr:pic>
    <xdr:clientData/>
  </xdr:twoCellAnchor>
  <xdr:twoCellAnchor editAs="oneCell">
    <xdr:from>
      <xdr:col>11</xdr:col>
      <xdr:colOff>82825</xdr:colOff>
      <xdr:row>3</xdr:row>
      <xdr:rowOff>74543</xdr:rowOff>
    </xdr:from>
    <xdr:to>
      <xdr:col>15</xdr:col>
      <xdr:colOff>579895</xdr:colOff>
      <xdr:row>9</xdr:row>
      <xdr:rowOff>154698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49586" y="695739"/>
          <a:ext cx="2012787" cy="1223155"/>
        </a:xfrm>
        <a:prstGeom prst="rect">
          <a:avLst/>
        </a:prstGeom>
      </xdr:spPr>
    </xdr:pic>
    <xdr:clientData/>
  </xdr:twoCellAnchor>
  <xdr:twoCellAnchor editAs="oneCell">
    <xdr:from>
      <xdr:col>11</xdr:col>
      <xdr:colOff>24740</xdr:colOff>
      <xdr:row>21</xdr:row>
      <xdr:rowOff>66262</xdr:rowOff>
    </xdr:from>
    <xdr:to>
      <xdr:col>15</xdr:col>
      <xdr:colOff>576325</xdr:colOff>
      <xdr:row>27</xdr:row>
      <xdr:rowOff>179546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91501" y="3743740"/>
          <a:ext cx="2067302" cy="1256284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37</xdr:row>
      <xdr:rowOff>9525</xdr:rowOff>
    </xdr:from>
    <xdr:to>
      <xdr:col>15</xdr:col>
      <xdr:colOff>172143</xdr:colOff>
      <xdr:row>43</xdr:row>
      <xdr:rowOff>76201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91575" y="6743700"/>
          <a:ext cx="1238943" cy="1209676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361951</xdr:colOff>
      <xdr:row>53</xdr:row>
      <xdr:rowOff>104776</xdr:rowOff>
    </xdr:from>
    <xdr:to>
      <xdr:col>15</xdr:col>
      <xdr:colOff>341631</xdr:colOff>
      <xdr:row>59</xdr:row>
      <xdr:rowOff>180975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96326" y="9896476"/>
          <a:ext cx="1503680" cy="1219199"/>
        </a:xfrm>
        <a:prstGeom prst="rect">
          <a:avLst/>
        </a:prstGeom>
      </xdr:spPr>
    </xdr:pic>
    <xdr:clientData/>
  </xdr:twoCellAnchor>
  <xdr:twoCellAnchor editAs="oneCell">
    <xdr:from>
      <xdr:col>51</xdr:col>
      <xdr:colOff>314325</xdr:colOff>
      <xdr:row>3</xdr:row>
      <xdr:rowOff>114300</xdr:rowOff>
    </xdr:from>
    <xdr:to>
      <xdr:col>53</xdr:col>
      <xdr:colOff>189424</xdr:colOff>
      <xdr:row>9</xdr:row>
      <xdr:rowOff>161776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34375" y="733425"/>
          <a:ext cx="1676190" cy="1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210288</xdr:colOff>
      <xdr:row>67</xdr:row>
      <xdr:rowOff>28574</xdr:rowOff>
    </xdr:from>
    <xdr:to>
      <xdr:col>15</xdr:col>
      <xdr:colOff>47464</xdr:colOff>
      <xdr:row>75</xdr:row>
      <xdr:rowOff>152123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87038" y="12687299"/>
          <a:ext cx="951601" cy="1647549"/>
        </a:xfrm>
        <a:prstGeom prst="rect">
          <a:avLst/>
        </a:prstGeom>
      </xdr:spPr>
    </xdr:pic>
    <xdr:clientData/>
  </xdr:twoCellAnchor>
  <xdr:twoCellAnchor editAs="oneCell">
    <xdr:from>
      <xdr:col>11</xdr:col>
      <xdr:colOff>114299</xdr:colOff>
      <xdr:row>83</xdr:row>
      <xdr:rowOff>114300</xdr:rowOff>
    </xdr:from>
    <xdr:to>
      <xdr:col>15</xdr:col>
      <xdr:colOff>513412</xdr:colOff>
      <xdr:row>90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81474" y="15640050"/>
          <a:ext cx="1923113" cy="121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28574</xdr:colOff>
      <xdr:row>97</xdr:row>
      <xdr:rowOff>153639</xdr:rowOff>
    </xdr:from>
    <xdr:to>
      <xdr:col>15</xdr:col>
      <xdr:colOff>219074</xdr:colOff>
      <xdr:row>104</xdr:row>
      <xdr:rowOff>180830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05324" y="18355914"/>
          <a:ext cx="1304925" cy="1360691"/>
        </a:xfrm>
        <a:prstGeom prst="rect">
          <a:avLst/>
        </a:prstGeom>
      </xdr:spPr>
    </xdr:pic>
    <xdr:clientData/>
  </xdr:twoCellAnchor>
  <xdr:twoCellAnchor>
    <xdr:from>
      <xdr:col>16</xdr:col>
      <xdr:colOff>209550</xdr:colOff>
      <xdr:row>84</xdr:row>
      <xdr:rowOff>123825</xdr:rowOff>
    </xdr:from>
    <xdr:to>
      <xdr:col>17</xdr:col>
      <xdr:colOff>323850</xdr:colOff>
      <xdr:row>89</xdr:row>
      <xdr:rowOff>9525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7620000" y="16240125"/>
          <a:ext cx="7239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16</xdr:col>
      <xdr:colOff>190500</xdr:colOff>
      <xdr:row>99</xdr:row>
      <xdr:rowOff>66675</xdr:rowOff>
    </xdr:from>
    <xdr:to>
      <xdr:col>17</xdr:col>
      <xdr:colOff>342900</xdr:colOff>
      <xdr:row>103</xdr:row>
      <xdr:rowOff>142875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7600950" y="19050000"/>
          <a:ext cx="7620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25</xdr:col>
      <xdr:colOff>276226</xdr:colOff>
      <xdr:row>3</xdr:row>
      <xdr:rowOff>161925</xdr:rowOff>
    </xdr:from>
    <xdr:to>
      <xdr:col>27</xdr:col>
      <xdr:colOff>276226</xdr:colOff>
      <xdr:row>8</xdr:row>
      <xdr:rowOff>47625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15944851" y="781050"/>
          <a:ext cx="12192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According to ABB standards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28575</xdr:colOff>
      <xdr:row>4</xdr:row>
      <xdr:rowOff>19050</xdr:rowOff>
    </xdr:from>
    <xdr:to>
      <xdr:col>10</xdr:col>
      <xdr:colOff>561975</xdr:colOff>
      <xdr:row>8</xdr:row>
      <xdr:rowOff>180975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/>
      </xdr:nvSpPr>
      <xdr:spPr>
        <a:xfrm>
          <a:off x="2266950" y="828675"/>
          <a:ext cx="2971800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 DESIGN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COIL HEIGHT  + (WH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- COIL HEIGHT)/2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LV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LEAD WIDTH + 10     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CLEARANCE BETWEEN SSI &amp; LV LEAD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6</xdr:col>
      <xdr:colOff>161925</xdr:colOff>
      <xdr:row>23</xdr:row>
      <xdr:rowOff>47625</xdr:rowOff>
    </xdr:from>
    <xdr:to>
      <xdr:col>10</xdr:col>
      <xdr:colOff>476250</xdr:colOff>
      <xdr:row>27</xdr:row>
      <xdr:rowOff>66675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2400300" y="4486275"/>
          <a:ext cx="27527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*WOODEN BLOCKS ARE </a:t>
          </a:r>
          <a:r>
            <a:rPr lang="en-US" sz="1100" baseline="0">
              <a:solidFill>
                <a:srgbClr val="C00000"/>
              </a:solidFill>
            </a:rPr>
            <a:t> USED AS CORE STICKS		                       </a:t>
          </a:r>
          <a:r>
            <a:rPr lang="en-US" sz="1100" baseline="0">
              <a:solidFill>
                <a:srgbClr val="00B0F0"/>
              </a:solidFill>
            </a:rPr>
            <a:t>**NEED TO IMPROVE                            </a:t>
          </a:r>
          <a:endParaRPr 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152400</xdr:colOff>
      <xdr:row>39</xdr:row>
      <xdr:rowOff>9525</xdr:rowOff>
    </xdr:from>
    <xdr:to>
      <xdr:col>10</xdr:col>
      <xdr:colOff>466725</xdr:colOff>
      <xdr:row>45</xdr:row>
      <xdr:rowOff>47625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2390775" y="7505700"/>
          <a:ext cx="27527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PRESSBOARD SPACERS USED TO FILL THE GAP BETWEEN CORE &amp; WINDING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 HEIGHT OF THE COIL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 STP1 BUILD - 5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 = 2		                                            </a:t>
          </a:r>
          <a:r>
            <a:rPr lang="en-US" sz="1100" baseline="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**NEED TO IMPROVE                            </a:t>
          </a:r>
          <a:r>
            <a:rPr lang="en-US" sz="1100" baseline="0">
              <a:solidFill>
                <a:srgbClr val="00B0F0"/>
              </a:solidFill>
            </a:rPr>
            <a:t>                         </a:t>
          </a:r>
          <a:endParaRPr 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76200</xdr:colOff>
      <xdr:row>55</xdr:row>
      <xdr:rowOff>38100</xdr:rowOff>
    </xdr:from>
    <xdr:to>
      <xdr:col>10</xdr:col>
      <xdr:colOff>438150</xdr:colOff>
      <xdr:row>58</xdr:row>
      <xdr:rowOff>104775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2314575" y="10210800"/>
          <a:ext cx="28003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= TOTAL HEIGHT OF THE COIL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+ 10                                                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OD AT CORE HV/LV SIDE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+ 20                       C → (11,22)kV = 2 / 33kV = 2x2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43</xdr:col>
      <xdr:colOff>288550</xdr:colOff>
      <xdr:row>5</xdr:row>
      <xdr:rowOff>105333</xdr:rowOff>
    </xdr:from>
    <xdr:to>
      <xdr:col>49</xdr:col>
      <xdr:colOff>0</xdr:colOff>
      <xdr:row>19</xdr:row>
      <xdr:rowOff>66674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23451109" y="1102657"/>
          <a:ext cx="3342156" cy="2628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 = CC - (ST1WIDTH + 4)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C00000"/>
              </a:solidFill>
              <a:effectLst/>
            </a:rPr>
            <a:t>W = TOTAL BUILD +</a:t>
          </a:r>
          <a:r>
            <a:rPr lang="en-US" baseline="0">
              <a:solidFill>
                <a:srgbClr val="C00000"/>
              </a:solidFill>
              <a:effectLst/>
            </a:rPr>
            <a:t> 40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T = (WINDOW HEIGHT - TOTAL COIL HEIGHT )/2 - 8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(T + 8) MIN. =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A = ST1 BUILD + ST2 BUILD +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ST3 BUILD</a:t>
          </a:r>
          <a:r>
            <a:rPr lang="en-US" sz="1100" baseline="0">
              <a:solidFill>
                <a:srgbClr val="C00000"/>
              </a:solidFill>
            </a:rPr>
            <a:t> + 4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ST1 BUILD + ST2 BUILD + 4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C = ST1BUILD + 4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D = CC - (ST2WIDTH + 4)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 = CC - (ST3WIDTH + 4)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 = CC - (ST4WIDTH + 4)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 = ST2BUILD/4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Q = ST3BUILD/4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 = ST4BUILD/4</a:t>
          </a:r>
        </a:p>
      </xdr:txBody>
    </xdr:sp>
    <xdr:clientData/>
  </xdr:twoCellAnchor>
  <xdr:twoCellAnchor editAs="oneCell">
    <xdr:from>
      <xdr:col>32</xdr:col>
      <xdr:colOff>206189</xdr:colOff>
      <xdr:row>2</xdr:row>
      <xdr:rowOff>53788</xdr:rowOff>
    </xdr:from>
    <xdr:to>
      <xdr:col>40</xdr:col>
      <xdr:colOff>162082</xdr:colOff>
      <xdr:row>18</xdr:row>
      <xdr:rowOff>42152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513924" y="479612"/>
          <a:ext cx="3183187" cy="3036364"/>
        </a:xfrm>
        <a:prstGeom prst="rect">
          <a:avLst/>
        </a:prstGeom>
      </xdr:spPr>
    </xdr:pic>
    <xdr:clientData/>
  </xdr:twoCellAnchor>
  <xdr:twoCellAnchor editAs="oneCell">
    <xdr:from>
      <xdr:col>35</xdr:col>
      <xdr:colOff>323849</xdr:colOff>
      <xdr:row>25</xdr:row>
      <xdr:rowOff>188473</xdr:rowOff>
    </xdr:from>
    <xdr:to>
      <xdr:col>41</xdr:col>
      <xdr:colOff>326652</xdr:colOff>
      <xdr:row>32</xdr:row>
      <xdr:rowOff>144461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4" y="5008123"/>
          <a:ext cx="2457451" cy="1297281"/>
        </a:xfrm>
        <a:prstGeom prst="rect">
          <a:avLst/>
        </a:prstGeom>
      </xdr:spPr>
    </xdr:pic>
    <xdr:clientData/>
  </xdr:twoCellAnchor>
  <xdr:twoCellAnchor>
    <xdr:from>
      <xdr:col>43</xdr:col>
      <xdr:colOff>285750</xdr:colOff>
      <xdr:row>26</xdr:row>
      <xdr:rowOff>76201</xdr:rowOff>
    </xdr:from>
    <xdr:to>
      <xdr:col>48</xdr:col>
      <xdr:colOff>582706</xdr:colOff>
      <xdr:row>33</xdr:row>
      <xdr:rowOff>19051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 txBox="1"/>
      </xdr:nvSpPr>
      <xdr:spPr>
        <a:xfrm>
          <a:off x="23448309" y="5085230"/>
          <a:ext cx="3322544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 = (CC - ST1WIDTH)/2 -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10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C00000"/>
              </a:solidFill>
              <a:effectLst/>
            </a:rPr>
            <a:t>W = 2B + 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H= (WINDOW HEIGHT - TOTAL COIL HEIGHT )/2 + A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A =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15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C = CLAMP DEPTH + 2</a:t>
          </a:r>
        </a:p>
      </xdr:txBody>
    </xdr:sp>
    <xdr:clientData/>
  </xdr:twoCellAnchor>
  <xdr:twoCellAnchor editAs="oneCell">
    <xdr:from>
      <xdr:col>19</xdr:col>
      <xdr:colOff>209550</xdr:colOff>
      <xdr:row>2</xdr:row>
      <xdr:rowOff>161925</xdr:rowOff>
    </xdr:from>
    <xdr:to>
      <xdr:col>24</xdr:col>
      <xdr:colOff>514097</xdr:colOff>
      <xdr:row>9</xdr:row>
      <xdr:rowOff>180806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63600" y="590550"/>
          <a:ext cx="2019048" cy="13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246529</xdr:colOff>
      <xdr:row>44</xdr:row>
      <xdr:rowOff>78442</xdr:rowOff>
    </xdr:from>
    <xdr:to>
      <xdr:col>39</xdr:col>
      <xdr:colOff>216534</xdr:colOff>
      <xdr:row>60</xdr:row>
      <xdr:rowOff>57331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57676" y="8538883"/>
          <a:ext cx="2390476" cy="3038095"/>
        </a:xfrm>
        <a:prstGeom prst="rect">
          <a:avLst/>
        </a:prstGeom>
      </xdr:spPr>
    </xdr:pic>
    <xdr:clientData/>
  </xdr:twoCellAnchor>
  <xdr:twoCellAnchor>
    <xdr:from>
      <xdr:col>43</xdr:col>
      <xdr:colOff>323850</xdr:colOff>
      <xdr:row>45</xdr:row>
      <xdr:rowOff>123825</xdr:rowOff>
    </xdr:from>
    <xdr:to>
      <xdr:col>49</xdr:col>
      <xdr:colOff>35300</xdr:colOff>
      <xdr:row>59</xdr:row>
      <xdr:rowOff>75641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24241125" y="8772525"/>
          <a:ext cx="3369050" cy="2628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L = CC - (ST1WIDTH + 4)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C00000"/>
              </a:solidFill>
              <a:effectLst/>
            </a:rPr>
            <a:t>W = TOTAL BUILD +</a:t>
          </a:r>
          <a:r>
            <a:rPr lang="en-US" baseline="0">
              <a:solidFill>
                <a:srgbClr val="C00000"/>
              </a:solidFill>
              <a:effectLst/>
            </a:rPr>
            <a:t> 40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T = (WINDOW HEIGHT - TOTAL COIL HEIGHT )/2 - 8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(T + 8) MIN. =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A = ST1 BUILD + ST2 BUILD +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ST3 BUILD</a:t>
          </a:r>
          <a:r>
            <a:rPr lang="en-US" sz="1100" baseline="0">
              <a:solidFill>
                <a:srgbClr val="C00000"/>
              </a:solidFill>
            </a:rPr>
            <a:t> + 4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= ST1 BUILD + ST2 BUILD + 4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C = ST1BUILD + 4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D = (CC - (ST2WIDTH + 4))/2-9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 = (CC - (ST3WIDTH + 4))/2-9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 = (CC - (ST4WIDTH + 4))/2-9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 = ST2BUILD/2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Q = ST3BUILD/2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 = ST4BUILD/2 </a:t>
          </a:r>
        </a:p>
      </xdr:txBody>
    </xdr:sp>
    <xdr:clientData/>
  </xdr:twoCellAnchor>
  <xdr:oneCellAnchor>
    <xdr:from>
      <xdr:col>2</xdr:col>
      <xdr:colOff>43962</xdr:colOff>
      <xdr:row>67</xdr:row>
      <xdr:rowOff>91587</xdr:rowOff>
    </xdr:from>
    <xdr:ext cx="1081413" cy="1586564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187" y="12178812"/>
          <a:ext cx="1081413" cy="1586564"/>
        </a:xfrm>
        <a:prstGeom prst="rect">
          <a:avLst/>
        </a:prstGeom>
      </xdr:spPr>
    </xdr:pic>
    <xdr:clientData/>
  </xdr:oneCellAnchor>
  <xdr:twoCellAnchor>
    <xdr:from>
      <xdr:col>6</xdr:col>
      <xdr:colOff>176893</xdr:colOff>
      <xdr:row>67</xdr:row>
      <xdr:rowOff>13607</xdr:rowOff>
    </xdr:from>
    <xdr:to>
      <xdr:col>10</xdr:col>
      <xdr:colOff>432708</xdr:colOff>
      <xdr:row>74</xdr:row>
      <xdr:rowOff>70757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408464" y="12899571"/>
          <a:ext cx="2705101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*WOODEN  USED INBETWEEN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2 WOODEN SUPPORTS ABOVE 1000kVA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DISTANCE INBETWEEN CLAMPS + 40 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60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C 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THICKNESS OF WOODEN SUPPORT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51</xdr:col>
      <xdr:colOff>1361</xdr:colOff>
      <xdr:row>29</xdr:row>
      <xdr:rowOff>9185</xdr:rowOff>
    </xdr:from>
    <xdr:to>
      <xdr:col>57</xdr:col>
      <xdr:colOff>71341</xdr:colOff>
      <xdr:row>40</xdr:row>
      <xdr:rowOff>147697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680636" y="5590835"/>
          <a:ext cx="4708655" cy="2243537"/>
        </a:xfrm>
        <a:prstGeom prst="rect">
          <a:avLst/>
        </a:prstGeom>
      </xdr:spPr>
    </xdr:pic>
    <xdr:clientData/>
  </xdr:twoCellAnchor>
  <xdr:twoCellAnchor>
    <xdr:from>
      <xdr:col>54</xdr:col>
      <xdr:colOff>242887</xdr:colOff>
      <xdr:row>1</xdr:row>
      <xdr:rowOff>138111</xdr:rowOff>
    </xdr:from>
    <xdr:to>
      <xdr:col>57</xdr:col>
      <xdr:colOff>111919</xdr:colOff>
      <xdr:row>5</xdr:row>
      <xdr:rowOff>166686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27636787" y="328611"/>
          <a:ext cx="1697832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51972</xdr:colOff>
      <xdr:row>2</xdr:row>
      <xdr:rowOff>64781</xdr:rowOff>
    </xdr:from>
    <xdr:to>
      <xdr:col>6</xdr:col>
      <xdr:colOff>149837</xdr:colOff>
      <xdr:row>10</xdr:row>
      <xdr:rowOff>127345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197" y="493406"/>
          <a:ext cx="1078940" cy="1586564"/>
        </a:xfrm>
        <a:prstGeom prst="rect">
          <a:avLst/>
        </a:prstGeom>
      </xdr:spPr>
    </xdr:pic>
    <xdr:clientData/>
  </xdr:twoCellAnchor>
  <xdr:twoCellAnchor editAs="oneCell">
    <xdr:from>
      <xdr:col>14</xdr:col>
      <xdr:colOff>120893</xdr:colOff>
      <xdr:row>2</xdr:row>
      <xdr:rowOff>137882</xdr:rowOff>
    </xdr:from>
    <xdr:to>
      <xdr:col>18</xdr:col>
      <xdr:colOff>329711</xdr:colOff>
      <xdr:row>10</xdr:row>
      <xdr:rowOff>45254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9874" y="570170"/>
          <a:ext cx="1586279" cy="1431372"/>
        </a:xfrm>
        <a:prstGeom prst="rect">
          <a:avLst/>
        </a:prstGeom>
      </xdr:spPr>
    </xdr:pic>
    <xdr:clientData/>
  </xdr:twoCellAnchor>
  <xdr:twoCellAnchor editAs="oneCell">
    <xdr:from>
      <xdr:col>25</xdr:col>
      <xdr:colOff>161925</xdr:colOff>
      <xdr:row>3</xdr:row>
      <xdr:rowOff>0</xdr:rowOff>
    </xdr:from>
    <xdr:to>
      <xdr:col>31</xdr:col>
      <xdr:colOff>456912</xdr:colOff>
      <xdr:row>10</xdr:row>
      <xdr:rowOff>18881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06225" y="619125"/>
          <a:ext cx="2304762" cy="1352381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6</xdr:row>
      <xdr:rowOff>76200</xdr:rowOff>
    </xdr:from>
    <xdr:to>
      <xdr:col>11</xdr:col>
      <xdr:colOff>9525</xdr:colOff>
      <xdr:row>10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4019550" y="1266825"/>
          <a:ext cx="24098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 DESIGN LV SIDE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CORE CC*2 + STEP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 WIDTH + 60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STEP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 WIDTH + 60      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4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66675</xdr:colOff>
      <xdr:row>11</xdr:row>
      <xdr:rowOff>171450</xdr:rowOff>
    </xdr:from>
    <xdr:to>
      <xdr:col>10</xdr:col>
      <xdr:colOff>600075</xdr:colOff>
      <xdr:row>16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4048125" y="2314575"/>
          <a:ext cx="23622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 DESIGN DELTA &amp; TAPPING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CORE CC*2 + STEP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 WIDTH + 60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STEP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1 WIDTH + 20                                              </a:t>
          </a: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4 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32</xdr:col>
      <xdr:colOff>33131</xdr:colOff>
      <xdr:row>4</xdr:row>
      <xdr:rowOff>171449</xdr:rowOff>
    </xdr:from>
    <xdr:to>
      <xdr:col>37</xdr:col>
      <xdr:colOff>91109</xdr:colOff>
      <xdr:row>11</xdr:row>
      <xdr:rowOff>9524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15380805" y="983145"/>
          <a:ext cx="3122543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NEW DESIGN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 = Total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Build*0.2 + LV RB + HV RB + Barrier + 2*E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</a:t>
          </a:r>
          <a:r>
            <a:rPr lang="en-US" sz="1100" baseline="0">
              <a:solidFill>
                <a:srgbClr val="C00000"/>
              </a:solidFill>
            </a:rPr>
            <a:t>B </a:t>
          </a:r>
          <a:r>
            <a:rPr lang="en-US" sz="1100">
              <a:solidFill>
                <a:srgbClr val="C00000"/>
              </a:solidFill>
            </a:rPr>
            <a:t>= </a:t>
          </a:r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40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C </a:t>
          </a: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= 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D =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E = 20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                            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53</xdr:col>
      <xdr:colOff>281607</xdr:colOff>
      <xdr:row>3</xdr:row>
      <xdr:rowOff>74542</xdr:rowOff>
    </xdr:from>
    <xdr:to>
      <xdr:col>54</xdr:col>
      <xdr:colOff>266647</xdr:colOff>
      <xdr:row>7</xdr:row>
      <xdr:rowOff>146890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281069" y="697330"/>
          <a:ext cx="278116" cy="834348"/>
        </a:xfrm>
        <a:prstGeom prst="rect">
          <a:avLst/>
        </a:prstGeom>
      </xdr:spPr>
    </xdr:pic>
    <xdr:clientData/>
  </xdr:twoCellAnchor>
  <xdr:twoCellAnchor editAs="oneCell">
    <xdr:from>
      <xdr:col>38</xdr:col>
      <xdr:colOff>260583</xdr:colOff>
      <xdr:row>2</xdr:row>
      <xdr:rowOff>134377</xdr:rowOff>
    </xdr:from>
    <xdr:to>
      <xdr:col>53</xdr:col>
      <xdr:colOff>52523</xdr:colOff>
      <xdr:row>9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57121" y="566665"/>
          <a:ext cx="5594864" cy="1389623"/>
        </a:xfrm>
        <a:prstGeom prst="rect">
          <a:avLst/>
        </a:prstGeom>
      </xdr:spPr>
    </xdr:pic>
    <xdr:clientData/>
  </xdr:twoCellAnchor>
  <xdr:twoCellAnchor>
    <xdr:from>
      <xdr:col>21</xdr:col>
      <xdr:colOff>74544</xdr:colOff>
      <xdr:row>3</xdr:row>
      <xdr:rowOff>41413</xdr:rowOff>
    </xdr:from>
    <xdr:to>
      <xdr:col>24</xdr:col>
      <xdr:colOff>505239</xdr:colOff>
      <xdr:row>10</xdr:row>
      <xdr:rowOff>57978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10378109" y="662609"/>
          <a:ext cx="2418521" cy="1350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C00000"/>
              </a:solidFill>
              <a:effectLst/>
            </a:rPr>
            <a:t>W = 2A + 2B + 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A → Lead width&gt;75,20 Lead width&lt;15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B  = Lead Thickness + 1</a:t>
          </a:r>
          <a:endParaRPr lang="en-US">
            <a:solidFill>
              <a:srgbClr val="C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C = Busbar Gap - 2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D = Lead Width + 15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H = D + 25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C00000"/>
              </a:solidFill>
            </a:rPr>
            <a:t>T = 6</a:t>
          </a:r>
        </a:p>
      </xdr:txBody>
    </xdr:sp>
    <xdr:clientData/>
  </xdr:twoCellAnchor>
  <xdr:oneCellAnchor>
    <xdr:from>
      <xdr:col>54</xdr:col>
      <xdr:colOff>17839</xdr:colOff>
      <xdr:row>22</xdr:row>
      <xdr:rowOff>65017</xdr:rowOff>
    </xdr:from>
    <xdr:ext cx="278116" cy="87795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310377" y="4314632"/>
          <a:ext cx="278116" cy="877958"/>
        </a:xfrm>
        <a:prstGeom prst="rect">
          <a:avLst/>
        </a:prstGeom>
      </xdr:spPr>
    </xdr:pic>
    <xdr:clientData/>
  </xdr:oneCellAnchor>
  <xdr:twoCellAnchor editAs="oneCell">
    <xdr:from>
      <xdr:col>38</xdr:col>
      <xdr:colOff>258642</xdr:colOff>
      <xdr:row>21</xdr:row>
      <xdr:rowOff>126244</xdr:rowOff>
    </xdr:from>
    <xdr:to>
      <xdr:col>53</xdr:col>
      <xdr:colOff>28576</xdr:colOff>
      <xdr:row>29</xdr:row>
      <xdr:rowOff>56924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55180" y="4185359"/>
          <a:ext cx="5572858" cy="146200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53139</xdr:colOff>
      <xdr:row>0</xdr:row>
      <xdr:rowOff>0</xdr:rowOff>
    </xdr:from>
    <xdr:to>
      <xdr:col>5</xdr:col>
      <xdr:colOff>972552</xdr:colOff>
      <xdr:row>0</xdr:row>
      <xdr:rowOff>0</xdr:rowOff>
    </xdr:to>
    <xdr:sp macro="" textlink="">
      <xdr:nvSpPr>
        <xdr:cNvPr id="2" name="Trapezoid 1">
          <a:extLst>
            <a:ext uri="{FF2B5EF4-FFF2-40B4-BE49-F238E27FC236}">
              <a16:creationId xmlns:a16="http://schemas.microsoft.com/office/drawing/2014/main" id="{35C3E983-99DE-4446-90DD-E0B4660B7D0B}"/>
            </a:ext>
          </a:extLst>
        </xdr:cNvPr>
        <xdr:cNvSpPr/>
      </xdr:nvSpPr>
      <xdr:spPr>
        <a:xfrm flipV="1">
          <a:off x="4244139" y="192879"/>
          <a:ext cx="919413" cy="319089"/>
        </a:xfrm>
        <a:prstGeom prst="trapezoid">
          <a:avLst>
            <a:gd name="adj" fmla="val 51316"/>
          </a:avLst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53139</xdr:colOff>
      <xdr:row>0</xdr:row>
      <xdr:rowOff>0</xdr:rowOff>
    </xdr:from>
    <xdr:to>
      <xdr:col>5</xdr:col>
      <xdr:colOff>972552</xdr:colOff>
      <xdr:row>0</xdr:row>
      <xdr:rowOff>0</xdr:rowOff>
    </xdr:to>
    <xdr:sp macro="" textlink="">
      <xdr:nvSpPr>
        <xdr:cNvPr id="2" name="Trapezoid 1">
          <a:extLst>
            <a:ext uri="{FF2B5EF4-FFF2-40B4-BE49-F238E27FC236}">
              <a16:creationId xmlns:a16="http://schemas.microsoft.com/office/drawing/2014/main" id="{183A3209-9C23-4966-9E0B-45AD843ABF4C}"/>
            </a:ext>
          </a:extLst>
        </xdr:cNvPr>
        <xdr:cNvSpPr/>
      </xdr:nvSpPr>
      <xdr:spPr>
        <a:xfrm flipV="1">
          <a:off x="4777539" y="0"/>
          <a:ext cx="919413" cy="0"/>
        </a:xfrm>
        <a:prstGeom prst="trapezoid">
          <a:avLst>
            <a:gd name="adj" fmla="val 51316"/>
          </a:avLst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398955</xdr:colOff>
      <xdr:row>0</xdr:row>
      <xdr:rowOff>0</xdr:rowOff>
    </xdr:from>
    <xdr:to>
      <xdr:col>7</xdr:col>
      <xdr:colOff>505919</xdr:colOff>
      <xdr:row>0</xdr:row>
      <xdr:rowOff>35579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4C7BEF-ED64-4EEE-A061-64D83DAE1DD0}"/>
            </a:ext>
          </a:extLst>
        </xdr:cNvPr>
        <xdr:cNvSpPr txBox="1"/>
      </xdr:nvSpPr>
      <xdr:spPr>
        <a:xfrm>
          <a:off x="4875705" y="5917546"/>
          <a:ext cx="106964" cy="109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kdhanavi.sharepoint.com/sites/LTLTransformersDrawings/Drawings%20in%20LTLDB/Contracts%202008%20-2016/CT2022/CT-2238%201600%2033%20400%20TELHOW%20INTERNATIONAL/Active%20part%20CAD%20&amp;%20Packet/Worksheet%20in%20ACTIVE%20PART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"/>
    </sheetNames>
    <sheetDataSet>
      <sheetData sheetId="0">
        <row r="77">
          <cell r="B77" t="str">
            <v>YNyn0</v>
          </cell>
          <cell r="C77">
            <v>1</v>
          </cell>
        </row>
        <row r="78">
          <cell r="B78" t="str">
            <v>Dd0</v>
          </cell>
          <cell r="C78">
            <v>2</v>
          </cell>
        </row>
        <row r="79">
          <cell r="B79" t="str">
            <v>YNd1</v>
          </cell>
          <cell r="C79">
            <v>3</v>
          </cell>
        </row>
        <row r="80">
          <cell r="B80" t="str">
            <v>Dyn1</v>
          </cell>
          <cell r="C80">
            <v>4</v>
          </cell>
        </row>
        <row r="81">
          <cell r="B81" t="str">
            <v>Dd2</v>
          </cell>
        </row>
        <row r="82">
          <cell r="B82" t="str">
            <v>Dd4</v>
          </cell>
        </row>
        <row r="83">
          <cell r="B83" t="str">
            <v>YNd5</v>
          </cell>
        </row>
        <row r="84">
          <cell r="B84" t="str">
            <v>Dyn5</v>
          </cell>
        </row>
        <row r="85">
          <cell r="B85" t="str">
            <v>YNyn6</v>
          </cell>
        </row>
        <row r="86">
          <cell r="B86" t="str">
            <v>Dd6</v>
          </cell>
        </row>
        <row r="87">
          <cell r="B87" t="str">
            <v>YNd7</v>
          </cell>
        </row>
        <row r="88">
          <cell r="B88" t="str">
            <v>Dyn7</v>
          </cell>
        </row>
        <row r="89">
          <cell r="B89" t="str">
            <v>YNd11</v>
          </cell>
        </row>
        <row r="90">
          <cell r="B90" t="str">
            <v>Dyn11</v>
          </cell>
        </row>
        <row r="91">
          <cell r="B91" t="str">
            <v>Dd8</v>
          </cell>
        </row>
        <row r="92">
          <cell r="B92" t="str">
            <v>Dd10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B47F-2C7C-4C48-AE92-75A5CA1D1F53}">
  <dimension ref="A1:D5"/>
  <sheetViews>
    <sheetView workbookViewId="0">
      <selection activeCell="F8" sqref="F8"/>
    </sheetView>
  </sheetViews>
  <sheetFormatPr baseColWidth="10" defaultColWidth="9.1640625" defaultRowHeight="15"/>
  <cols>
    <col min="1" max="1" width="10.1640625" style="20" customWidth="1"/>
    <col min="2" max="2" width="63.83203125" style="20" customWidth="1"/>
    <col min="3" max="3" width="11.6640625" style="20" customWidth="1"/>
    <col min="4" max="4" width="16.6640625" style="20" customWidth="1"/>
    <col min="5" max="16384" width="9.1640625" style="50"/>
  </cols>
  <sheetData>
    <row r="1" spans="1:4">
      <c r="A1" s="20" t="s">
        <v>351</v>
      </c>
      <c r="B1" s="20" t="s">
        <v>350</v>
      </c>
      <c r="C1" s="20" t="s">
        <v>352</v>
      </c>
      <c r="D1" s="20" t="s">
        <v>681</v>
      </c>
    </row>
    <row r="2" spans="1:4">
      <c r="A2" s="20">
        <v>1</v>
      </c>
      <c r="B2" s="20" t="s">
        <v>349</v>
      </c>
      <c r="C2" s="20" t="s">
        <v>348</v>
      </c>
      <c r="D2" s="20" t="s">
        <v>680</v>
      </c>
    </row>
    <row r="3" spans="1:4">
      <c r="A3" s="20">
        <v>2</v>
      </c>
      <c r="B3" s="20" t="s">
        <v>356</v>
      </c>
      <c r="C3" s="20" t="s">
        <v>355</v>
      </c>
      <c r="D3" s="20" t="s">
        <v>680</v>
      </c>
    </row>
    <row r="4" spans="1:4">
      <c r="A4" s="20">
        <v>3</v>
      </c>
      <c r="B4" s="20" t="s">
        <v>364</v>
      </c>
      <c r="C4" s="20" t="s">
        <v>363</v>
      </c>
      <c r="D4" s="20" t="s">
        <v>680</v>
      </c>
    </row>
    <row r="5" spans="1:4">
      <c r="A5" s="20">
        <v>4</v>
      </c>
      <c r="B5" s="20" t="s">
        <v>678</v>
      </c>
      <c r="C5" s="20" t="s">
        <v>679</v>
      </c>
      <c r="D5" s="20" t="s">
        <v>680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342F-B5EF-334A-BBCF-F6FB3F62D2DC}">
  <dimension ref="A1:AF172"/>
  <sheetViews>
    <sheetView topLeftCell="A136" workbookViewId="0">
      <selection activeCell="J23" sqref="J23"/>
    </sheetView>
  </sheetViews>
  <sheetFormatPr baseColWidth="10" defaultRowHeight="15"/>
  <cols>
    <col min="1" max="1" width="40.1640625" style="140" bestFit="1" customWidth="1"/>
    <col min="2" max="2" width="5.6640625" style="140" bestFit="1" customWidth="1"/>
    <col min="3" max="3" width="11.33203125" style="140" bestFit="1" customWidth="1"/>
    <col min="4" max="4" width="9.33203125" style="140" bestFit="1" customWidth="1"/>
    <col min="5" max="5" width="10.33203125" style="140" bestFit="1" customWidth="1"/>
    <col min="6" max="6" width="12.33203125" style="140" bestFit="1" customWidth="1"/>
    <col min="7" max="7" width="16" style="140" bestFit="1" customWidth="1"/>
    <col min="8" max="8" width="8.6640625" style="140" bestFit="1" customWidth="1"/>
    <col min="9" max="9" width="7.33203125" style="140" bestFit="1" customWidth="1"/>
    <col min="10" max="10" width="9.5" style="140" bestFit="1" customWidth="1"/>
    <col min="11" max="17" width="8.1640625" style="140" bestFit="1" customWidth="1"/>
    <col min="18" max="18" width="8.5" style="140" bestFit="1" customWidth="1"/>
    <col min="19" max="32" width="8.1640625" style="140" bestFit="1" customWidth="1"/>
    <col min="33" max="16384" width="10.83203125" style="140"/>
  </cols>
  <sheetData>
    <row r="1" spans="1:32">
      <c r="A1" s="49" t="s">
        <v>368</v>
      </c>
      <c r="B1" s="49" t="s">
        <v>369</v>
      </c>
      <c r="C1" s="49" t="s">
        <v>370</v>
      </c>
      <c r="D1" s="49" t="s">
        <v>371</v>
      </c>
      <c r="E1" s="49" t="s">
        <v>372</v>
      </c>
      <c r="F1" s="49" t="s">
        <v>373</v>
      </c>
      <c r="G1" s="49" t="s">
        <v>374</v>
      </c>
      <c r="H1" s="49" t="s">
        <v>375</v>
      </c>
      <c r="I1" s="49" t="s">
        <v>376</v>
      </c>
      <c r="J1" s="49" t="s">
        <v>377</v>
      </c>
      <c r="K1" s="49" t="s">
        <v>378</v>
      </c>
      <c r="L1" s="49" t="s">
        <v>379</v>
      </c>
      <c r="M1" s="49" t="s">
        <v>380</v>
      </c>
      <c r="N1" s="49" t="s">
        <v>381</v>
      </c>
      <c r="O1" s="49" t="s">
        <v>382</v>
      </c>
      <c r="P1" s="49" t="s">
        <v>383</v>
      </c>
      <c r="Q1" s="49" t="s">
        <v>384</v>
      </c>
      <c r="R1" s="49" t="s">
        <v>385</v>
      </c>
      <c r="S1" s="49" t="s">
        <v>386</v>
      </c>
      <c r="T1" s="49" t="s">
        <v>387</v>
      </c>
      <c r="U1" s="49" t="s">
        <v>388</v>
      </c>
      <c r="V1" s="49" t="s">
        <v>389</v>
      </c>
      <c r="W1" s="49" t="s">
        <v>390</v>
      </c>
      <c r="X1" s="49" t="s">
        <v>391</v>
      </c>
      <c r="Y1" s="49" t="s">
        <v>392</v>
      </c>
      <c r="Z1" s="49" t="s">
        <v>393</v>
      </c>
      <c r="AA1" s="49" t="s">
        <v>394</v>
      </c>
      <c r="AB1" s="49" t="s">
        <v>395</v>
      </c>
      <c r="AC1" s="49" t="s">
        <v>396</v>
      </c>
      <c r="AD1" s="49" t="s">
        <v>397</v>
      </c>
      <c r="AE1" s="49" t="s">
        <v>398</v>
      </c>
      <c r="AF1" s="49" t="s">
        <v>399</v>
      </c>
    </row>
    <row r="2" spans="1:32">
      <c r="A2" s="140" t="s">
        <v>548</v>
      </c>
      <c r="C2" s="140" t="s">
        <v>549</v>
      </c>
      <c r="D2" s="140" t="s">
        <v>550</v>
      </c>
      <c r="E2" s="140" t="s">
        <v>551</v>
      </c>
      <c r="F2" s="140">
        <v>11</v>
      </c>
      <c r="G2" s="140">
        <v>64</v>
      </c>
      <c r="H2" s="140">
        <v>54</v>
      </c>
      <c r="I2" s="140" t="s">
        <v>552</v>
      </c>
    </row>
    <row r="3" spans="1:32">
      <c r="A3" s="140" t="s">
        <v>547</v>
      </c>
      <c r="C3" s="140">
        <v>12</v>
      </c>
      <c r="D3" s="140">
        <v>0</v>
      </c>
      <c r="E3" s="140" t="s">
        <v>168</v>
      </c>
    </row>
    <row r="4" spans="1:32">
      <c r="A4" s="140" t="s">
        <v>628</v>
      </c>
      <c r="C4" s="140">
        <v>3.99</v>
      </c>
      <c r="D4" s="140">
        <v>0.78</v>
      </c>
      <c r="E4" s="140">
        <v>0.03</v>
      </c>
      <c r="F4" s="140" t="s">
        <v>321</v>
      </c>
    </row>
    <row r="5" spans="1:32">
      <c r="A5" s="140" t="s">
        <v>629</v>
      </c>
      <c r="C5" s="140">
        <v>4.0919999999999996</v>
      </c>
      <c r="D5" s="140" t="s">
        <v>321</v>
      </c>
    </row>
    <row r="6" spans="1:32">
      <c r="A6" s="140" t="s">
        <v>631</v>
      </c>
      <c r="C6" s="140">
        <v>4</v>
      </c>
      <c r="D6" s="140" t="s">
        <v>321</v>
      </c>
    </row>
    <row r="7" spans="1:32">
      <c r="A7" s="140" t="s">
        <v>464</v>
      </c>
      <c r="C7" s="140">
        <v>0.22819999999999999</v>
      </c>
    </row>
    <row r="8" spans="1:32">
      <c r="A8" s="140" t="s">
        <v>584</v>
      </c>
      <c r="C8" s="140">
        <v>1222</v>
      </c>
      <c r="D8" s="140" t="s">
        <v>169</v>
      </c>
    </row>
    <row r="9" spans="1:32">
      <c r="A9" s="140" t="s">
        <v>539</v>
      </c>
      <c r="C9" s="140">
        <v>0</v>
      </c>
      <c r="D9" s="140" t="s">
        <v>168</v>
      </c>
    </row>
    <row r="10" spans="1:32">
      <c r="A10" s="140" t="s">
        <v>489</v>
      </c>
      <c r="C10" s="140">
        <v>101.42</v>
      </c>
      <c r="D10" s="140">
        <v>56.12</v>
      </c>
      <c r="E10" s="140">
        <v>60.26</v>
      </c>
      <c r="F10" s="140">
        <v>13.85</v>
      </c>
      <c r="G10" s="140" t="s">
        <v>490</v>
      </c>
      <c r="H10" s="140" t="s">
        <v>491</v>
      </c>
      <c r="I10" s="140" t="s">
        <v>492</v>
      </c>
    </row>
    <row r="11" spans="1:32">
      <c r="A11" s="140" t="s">
        <v>488</v>
      </c>
      <c r="C11" s="140">
        <v>160</v>
      </c>
      <c r="D11" s="140">
        <v>150</v>
      </c>
      <c r="E11" s="140">
        <v>110</v>
      </c>
      <c r="F11" s="140">
        <v>90</v>
      </c>
    </row>
    <row r="12" spans="1:32">
      <c r="A12" s="140" t="s">
        <v>611</v>
      </c>
      <c r="C12" s="140">
        <v>465</v>
      </c>
    </row>
    <row r="13" spans="1:32">
      <c r="A13" s="140" t="s">
        <v>546</v>
      </c>
      <c r="C13" s="140">
        <v>0.25</v>
      </c>
      <c r="D13" s="140" t="s">
        <v>168</v>
      </c>
    </row>
    <row r="14" spans="1:32">
      <c r="A14" s="140" t="s">
        <v>510</v>
      </c>
      <c r="C14" s="140">
        <v>0</v>
      </c>
      <c r="D14" s="140" t="s">
        <v>168</v>
      </c>
    </row>
    <row r="15" spans="1:32">
      <c r="A15" s="140" t="s">
        <v>553</v>
      </c>
      <c r="C15" s="140">
        <v>1</v>
      </c>
    </row>
    <row r="16" spans="1:32">
      <c r="A16" s="140" t="s">
        <v>608</v>
      </c>
      <c r="C16" s="140">
        <v>95</v>
      </c>
    </row>
    <row r="17" spans="1:8">
      <c r="A17" s="140" t="s">
        <v>521</v>
      </c>
      <c r="C17" s="140" t="s">
        <v>517</v>
      </c>
      <c r="D17" s="140" t="s">
        <v>518</v>
      </c>
      <c r="E17" s="140">
        <v>50</v>
      </c>
      <c r="F17" s="140">
        <v>6</v>
      </c>
      <c r="G17" s="140" t="s">
        <v>168</v>
      </c>
    </row>
    <row r="18" spans="1:8">
      <c r="A18" s="140" t="s">
        <v>594</v>
      </c>
      <c r="C18" s="140">
        <v>5</v>
      </c>
      <c r="D18" s="140">
        <v>0</v>
      </c>
      <c r="E18" s="140" t="s">
        <v>169</v>
      </c>
    </row>
    <row r="19" spans="1:8">
      <c r="A19" s="140" t="s">
        <v>585</v>
      </c>
      <c r="C19" s="140" t="s">
        <v>586</v>
      </c>
      <c r="D19" s="140" t="s">
        <v>587</v>
      </c>
      <c r="E19" s="140">
        <v>803</v>
      </c>
      <c r="F19" s="140">
        <v>948.41</v>
      </c>
      <c r="G19" s="140" t="s">
        <v>168</v>
      </c>
    </row>
    <row r="20" spans="1:8">
      <c r="A20" s="140" t="s">
        <v>602</v>
      </c>
      <c r="C20" s="140" t="s">
        <v>603</v>
      </c>
      <c r="D20" s="140" t="s">
        <v>517</v>
      </c>
      <c r="E20" s="140" t="s">
        <v>604</v>
      </c>
      <c r="F20" s="140">
        <v>1125.4000000000001</v>
      </c>
      <c r="G20" s="140">
        <v>505</v>
      </c>
      <c r="H20" s="140">
        <v>1020</v>
      </c>
    </row>
    <row r="21" spans="1:8">
      <c r="A21" s="140" t="s">
        <v>583</v>
      </c>
      <c r="C21" s="140">
        <v>0.78</v>
      </c>
      <c r="D21" s="140">
        <v>1.71</v>
      </c>
    </row>
    <row r="22" spans="1:8">
      <c r="A22" s="140" t="s">
        <v>607</v>
      </c>
      <c r="C22" s="140">
        <v>33</v>
      </c>
      <c r="D22" s="140">
        <v>202</v>
      </c>
    </row>
    <row r="23" spans="1:8">
      <c r="A23" s="140" t="s">
        <v>458</v>
      </c>
      <c r="C23" s="140">
        <v>319.80399999999997</v>
      </c>
      <c r="D23" s="140" t="s">
        <v>168</v>
      </c>
    </row>
    <row r="24" spans="1:8">
      <c r="A24" s="140" t="s">
        <v>665</v>
      </c>
      <c r="C24" s="140" t="s">
        <v>666</v>
      </c>
      <c r="D24" s="140">
        <v>1</v>
      </c>
      <c r="E24" s="140" t="s">
        <v>667</v>
      </c>
      <c r="F24" s="140">
        <v>1</v>
      </c>
      <c r="G24" s="140" t="s">
        <v>668</v>
      </c>
      <c r="H24" s="140">
        <v>1</v>
      </c>
    </row>
    <row r="25" spans="1:8">
      <c r="A25" s="140" t="s">
        <v>665</v>
      </c>
      <c r="C25" s="140" t="s">
        <v>666</v>
      </c>
      <c r="D25" s="140">
        <v>1</v>
      </c>
      <c r="E25" s="140" t="s">
        <v>667</v>
      </c>
      <c r="F25" s="140">
        <v>1</v>
      </c>
      <c r="G25" s="140" t="s">
        <v>668</v>
      </c>
      <c r="H25" s="140">
        <v>1</v>
      </c>
    </row>
    <row r="26" spans="1:8">
      <c r="A26" s="140" t="s">
        <v>588</v>
      </c>
      <c r="C26" s="140">
        <v>122</v>
      </c>
      <c r="D26" s="140" t="s">
        <v>169</v>
      </c>
    </row>
    <row r="27" spans="1:8">
      <c r="A27" s="140" t="s">
        <v>496</v>
      </c>
      <c r="C27" s="140">
        <v>465</v>
      </c>
      <c r="D27" s="140" t="s">
        <v>168</v>
      </c>
    </row>
    <row r="28" spans="1:8">
      <c r="A28" s="140" t="s">
        <v>496</v>
      </c>
      <c r="C28" s="140">
        <v>465</v>
      </c>
      <c r="D28" s="140" t="s">
        <v>168</v>
      </c>
    </row>
    <row r="29" spans="1:8">
      <c r="A29" s="140" t="s">
        <v>537</v>
      </c>
      <c r="C29" s="140">
        <v>14.61233</v>
      </c>
      <c r="D29" s="140" t="s">
        <v>502</v>
      </c>
    </row>
    <row r="30" spans="1:8">
      <c r="A30" s="140" t="s">
        <v>532</v>
      </c>
      <c r="C30" s="140">
        <v>411</v>
      </c>
      <c r="D30" s="140">
        <v>404.70600000000002</v>
      </c>
    </row>
    <row r="31" spans="1:8">
      <c r="A31" s="140" t="s">
        <v>535</v>
      </c>
      <c r="C31" s="140">
        <v>1</v>
      </c>
      <c r="D31" s="140">
        <v>2</v>
      </c>
      <c r="E31" s="140">
        <v>3.05</v>
      </c>
      <c r="F31" s="140">
        <v>3.05</v>
      </c>
    </row>
    <row r="32" spans="1:8">
      <c r="A32" s="140" t="s">
        <v>504</v>
      </c>
      <c r="C32" s="140">
        <v>183.46</v>
      </c>
      <c r="D32" s="140">
        <v>10.88</v>
      </c>
      <c r="E32" s="140" t="s">
        <v>169</v>
      </c>
    </row>
    <row r="33" spans="1:23">
      <c r="A33" s="140" t="s">
        <v>529</v>
      </c>
      <c r="C33" s="140" t="s">
        <v>530</v>
      </c>
      <c r="D33" s="140" t="s">
        <v>237</v>
      </c>
    </row>
    <row r="34" spans="1:23">
      <c r="A34" s="140" t="s">
        <v>529</v>
      </c>
      <c r="C34" s="140" t="s">
        <v>555</v>
      </c>
      <c r="D34" s="140" t="s">
        <v>237</v>
      </c>
    </row>
    <row r="35" spans="1:23">
      <c r="A35" s="140" t="s">
        <v>533</v>
      </c>
      <c r="C35" s="140" t="s">
        <v>494</v>
      </c>
      <c r="D35" s="140" t="s">
        <v>534</v>
      </c>
    </row>
    <row r="36" spans="1:23">
      <c r="A36" s="140" t="s">
        <v>506</v>
      </c>
      <c r="C36" s="140">
        <v>4.5</v>
      </c>
      <c r="D36" s="140" t="s">
        <v>168</v>
      </c>
      <c r="E36" s="140">
        <v>1.33</v>
      </c>
    </row>
    <row r="37" spans="1:23">
      <c r="A37" s="140" t="s">
        <v>506</v>
      </c>
      <c r="C37" s="140">
        <v>0</v>
      </c>
      <c r="D37" s="140" t="s">
        <v>168</v>
      </c>
      <c r="E37" s="140">
        <v>0</v>
      </c>
    </row>
    <row r="38" spans="1:23">
      <c r="A38" s="140" t="s">
        <v>652</v>
      </c>
      <c r="C38" s="140" t="s">
        <v>653</v>
      </c>
      <c r="D38" s="140" t="s">
        <v>247</v>
      </c>
      <c r="E38" s="140" t="s">
        <v>654</v>
      </c>
      <c r="F38" s="140" t="s">
        <v>2</v>
      </c>
      <c r="G38" s="140" t="s">
        <v>655</v>
      </c>
      <c r="H38" s="140" t="s">
        <v>247</v>
      </c>
      <c r="I38" s="140" t="s">
        <v>656</v>
      </c>
      <c r="J38" s="140" t="s">
        <v>247</v>
      </c>
      <c r="K38" s="140" t="s">
        <v>657</v>
      </c>
      <c r="L38" s="140" t="s">
        <v>495</v>
      </c>
      <c r="M38" s="140" t="s">
        <v>658</v>
      </c>
      <c r="N38" s="140" t="s">
        <v>247</v>
      </c>
      <c r="O38" s="140" t="s">
        <v>659</v>
      </c>
      <c r="P38" s="140" t="s">
        <v>660</v>
      </c>
      <c r="Q38" s="140" t="s">
        <v>247</v>
      </c>
      <c r="R38" s="140" t="s">
        <v>661</v>
      </c>
      <c r="S38" s="140" t="s">
        <v>653</v>
      </c>
      <c r="T38" s="140" t="s">
        <v>247</v>
      </c>
      <c r="U38" s="140" t="s">
        <v>662</v>
      </c>
      <c r="V38" s="140" t="s">
        <v>663</v>
      </c>
      <c r="W38" s="140" t="s">
        <v>664</v>
      </c>
    </row>
    <row r="39" spans="1:23">
      <c r="A39" s="140" t="s">
        <v>571</v>
      </c>
      <c r="C39" s="140">
        <v>3.59</v>
      </c>
    </row>
    <row r="40" spans="1:23">
      <c r="A40" s="140" t="s">
        <v>571</v>
      </c>
      <c r="C40" s="140">
        <v>2607</v>
      </c>
    </row>
    <row r="41" spans="1:23">
      <c r="A41" s="140" t="s">
        <v>445</v>
      </c>
      <c r="C41" s="140" t="s">
        <v>446</v>
      </c>
      <c r="D41" s="140" t="s">
        <v>447</v>
      </c>
      <c r="E41" s="140" t="s">
        <v>448</v>
      </c>
    </row>
    <row r="42" spans="1:23">
      <c r="A42" s="140" t="s">
        <v>481</v>
      </c>
      <c r="C42" s="140">
        <v>758.5</v>
      </c>
      <c r="D42" s="140" t="s">
        <v>169</v>
      </c>
    </row>
    <row r="43" spans="1:23">
      <c r="A43" s="140" t="s">
        <v>473</v>
      </c>
      <c r="C43" s="140">
        <v>726.1</v>
      </c>
      <c r="D43" s="140" t="s">
        <v>169</v>
      </c>
    </row>
    <row r="44" spans="1:23">
      <c r="A44" s="140" t="s">
        <v>486</v>
      </c>
      <c r="C44" s="140">
        <v>705.5</v>
      </c>
      <c r="D44" s="140" t="s">
        <v>168</v>
      </c>
    </row>
    <row r="45" spans="1:23">
      <c r="A45" s="140" t="s">
        <v>476</v>
      </c>
      <c r="C45" s="140">
        <v>32.299999999999997</v>
      </c>
      <c r="D45" s="140" t="s">
        <v>169</v>
      </c>
    </row>
    <row r="46" spans="1:23">
      <c r="A46" s="140" t="s">
        <v>597</v>
      </c>
      <c r="C46" s="140">
        <v>36</v>
      </c>
      <c r="D46" s="140">
        <v>161</v>
      </c>
      <c r="E46" s="140" t="s">
        <v>169</v>
      </c>
    </row>
    <row r="47" spans="1:23">
      <c r="A47" s="140" t="s">
        <v>501</v>
      </c>
      <c r="C47" s="140">
        <v>1.9259999999999999</v>
      </c>
      <c r="D47" s="140" t="s">
        <v>0</v>
      </c>
      <c r="E47" s="140" t="s">
        <v>502</v>
      </c>
    </row>
    <row r="48" spans="1:23">
      <c r="A48" s="140" t="s">
        <v>501</v>
      </c>
      <c r="C48" s="140">
        <v>1.728</v>
      </c>
      <c r="D48" s="140" t="s">
        <v>0</v>
      </c>
      <c r="E48" s="140" t="s">
        <v>502</v>
      </c>
    </row>
    <row r="49" spans="1:13">
      <c r="A49" s="140" t="s">
        <v>400</v>
      </c>
      <c r="C49" s="140" t="s">
        <v>45</v>
      </c>
      <c r="D49" s="140" t="s">
        <v>401</v>
      </c>
      <c r="E49" s="140" t="s">
        <v>402</v>
      </c>
      <c r="F49" s="140" t="s">
        <v>403</v>
      </c>
      <c r="G49" s="140" t="s">
        <v>404</v>
      </c>
    </row>
    <row r="50" spans="1:13">
      <c r="A50" s="140" t="s">
        <v>405</v>
      </c>
      <c r="C50" s="140" t="s">
        <v>406</v>
      </c>
      <c r="D50" s="140" t="s">
        <v>407</v>
      </c>
      <c r="E50" s="140" t="s">
        <v>408</v>
      </c>
      <c r="F50" s="140" t="s">
        <v>409</v>
      </c>
      <c r="G50" s="140" t="s">
        <v>410</v>
      </c>
      <c r="H50" s="140" t="s">
        <v>411</v>
      </c>
      <c r="I50" s="140" t="s">
        <v>412</v>
      </c>
      <c r="J50" s="140" t="s">
        <v>413</v>
      </c>
      <c r="K50" s="140">
        <v>10</v>
      </c>
      <c r="L50" s="140">
        <v>23</v>
      </c>
      <c r="M50" s="140">
        <v>37</v>
      </c>
    </row>
    <row r="51" spans="1:13">
      <c r="A51" s="140" t="s">
        <v>487</v>
      </c>
      <c r="C51" s="140">
        <v>100.2</v>
      </c>
      <c r="D51" s="140" t="s">
        <v>168</v>
      </c>
    </row>
    <row r="52" spans="1:13">
      <c r="A52" s="140" t="s">
        <v>609</v>
      </c>
      <c r="C52" s="140">
        <v>9220</v>
      </c>
    </row>
    <row r="53" spans="1:13">
      <c r="A53" s="140" t="s">
        <v>449</v>
      </c>
      <c r="C53" s="140">
        <v>160</v>
      </c>
      <c r="D53" s="140">
        <v>261.42099999999999</v>
      </c>
      <c r="E53" s="140" t="s">
        <v>168</v>
      </c>
    </row>
    <row r="54" spans="1:13">
      <c r="A54" s="140" t="s">
        <v>568</v>
      </c>
      <c r="C54" s="140" t="s">
        <v>569</v>
      </c>
      <c r="D54" s="140" t="s">
        <v>570</v>
      </c>
      <c r="E54" s="140">
        <v>4.5599999999999996</v>
      </c>
      <c r="F54" s="140">
        <v>11.27</v>
      </c>
    </row>
    <row r="55" spans="1:13">
      <c r="A55" s="140" t="s">
        <v>559</v>
      </c>
      <c r="C55" s="140">
        <v>8</v>
      </c>
      <c r="D55" s="140" t="s">
        <v>168</v>
      </c>
    </row>
    <row r="56" spans="1:13">
      <c r="A56" s="140" t="s">
        <v>509</v>
      </c>
      <c r="C56" s="140" t="s">
        <v>87</v>
      </c>
      <c r="D56" s="140">
        <v>1</v>
      </c>
      <c r="E56" s="140" t="s">
        <v>453</v>
      </c>
      <c r="F56" s="140">
        <v>0</v>
      </c>
      <c r="G56" s="140" t="s">
        <v>88</v>
      </c>
      <c r="H56" s="140">
        <v>0</v>
      </c>
    </row>
    <row r="57" spans="1:13">
      <c r="A57" s="140" t="s">
        <v>509</v>
      </c>
      <c r="C57" s="140" t="s">
        <v>87</v>
      </c>
      <c r="D57" s="140">
        <v>0</v>
      </c>
      <c r="E57" s="140" t="s">
        <v>453</v>
      </c>
      <c r="F57" s="140">
        <v>0</v>
      </c>
      <c r="G57" s="140" t="s">
        <v>88</v>
      </c>
      <c r="H57" s="140">
        <v>0</v>
      </c>
    </row>
    <row r="58" spans="1:13">
      <c r="A58" s="140" t="s">
        <v>497</v>
      </c>
      <c r="C58" s="140">
        <v>425</v>
      </c>
      <c r="D58" s="140" t="s">
        <v>168</v>
      </c>
    </row>
    <row r="59" spans="1:13">
      <c r="A59" s="140" t="s">
        <v>614</v>
      </c>
      <c r="C59" s="140">
        <v>9220</v>
      </c>
    </row>
    <row r="60" spans="1:13">
      <c r="A60" s="140" t="s">
        <v>613</v>
      </c>
      <c r="C60" s="140">
        <v>0</v>
      </c>
    </row>
    <row r="61" spans="1:13">
      <c r="A61" s="140" t="s">
        <v>578</v>
      </c>
      <c r="C61" s="140" t="s">
        <v>569</v>
      </c>
      <c r="D61" s="140" t="s">
        <v>579</v>
      </c>
      <c r="E61" s="140">
        <v>3.59</v>
      </c>
      <c r="F61" s="140">
        <v>11.12</v>
      </c>
    </row>
    <row r="62" spans="1:13">
      <c r="A62" s="140" t="s">
        <v>451</v>
      </c>
      <c r="C62" s="140" t="s">
        <v>452</v>
      </c>
      <c r="D62" s="140">
        <v>3</v>
      </c>
      <c r="E62" s="140" t="s">
        <v>453</v>
      </c>
    </row>
    <row r="63" spans="1:13">
      <c r="A63" s="140" t="s">
        <v>461</v>
      </c>
      <c r="C63" s="140">
        <v>325.2</v>
      </c>
      <c r="D63" s="140">
        <v>314.5</v>
      </c>
      <c r="E63" s="140" t="s">
        <v>462</v>
      </c>
    </row>
    <row r="64" spans="1:13">
      <c r="A64" s="140" t="s">
        <v>589</v>
      </c>
      <c r="C64" s="140">
        <v>6.48</v>
      </c>
      <c r="D64" s="140" t="s">
        <v>169</v>
      </c>
    </row>
    <row r="65" spans="1:21">
      <c r="A65" s="140" t="s">
        <v>87</v>
      </c>
      <c r="C65" s="140">
        <v>6600</v>
      </c>
      <c r="D65" s="140" t="s">
        <v>246</v>
      </c>
      <c r="E65" s="140">
        <v>2</v>
      </c>
      <c r="F65" s="140">
        <v>2</v>
      </c>
      <c r="G65" s="140">
        <v>2.5</v>
      </c>
      <c r="H65" s="140" t="s">
        <v>321</v>
      </c>
      <c r="I65" s="140" t="s">
        <v>434</v>
      </c>
      <c r="J65" s="140" t="s">
        <v>435</v>
      </c>
      <c r="K65" s="140" t="s">
        <v>436</v>
      </c>
      <c r="L65" s="140" t="s">
        <v>437</v>
      </c>
      <c r="M65" s="140" t="s">
        <v>438</v>
      </c>
      <c r="N65" s="140" t="s">
        <v>439</v>
      </c>
      <c r="O65" s="140">
        <v>75</v>
      </c>
      <c r="P65" s="140" t="s">
        <v>440</v>
      </c>
      <c r="Q65" s="140" t="s">
        <v>441</v>
      </c>
      <c r="R65" s="140" t="s">
        <v>442</v>
      </c>
      <c r="S65" s="140" t="s">
        <v>443</v>
      </c>
      <c r="T65" s="140">
        <v>43.738999999999997</v>
      </c>
      <c r="U65" s="140">
        <v>25.253</v>
      </c>
    </row>
    <row r="66" spans="1:21">
      <c r="A66" s="140" t="s">
        <v>605</v>
      </c>
      <c r="C66" s="140">
        <v>3260</v>
      </c>
      <c r="D66" s="140">
        <v>2186</v>
      </c>
    </row>
    <row r="67" spans="1:21">
      <c r="A67" s="140" t="s">
        <v>538</v>
      </c>
      <c r="C67" s="140">
        <v>284.37</v>
      </c>
      <c r="D67" s="140" t="s">
        <v>169</v>
      </c>
    </row>
    <row r="68" spans="1:21">
      <c r="A68" s="140" t="s">
        <v>565</v>
      </c>
      <c r="C68" s="140">
        <v>0</v>
      </c>
      <c r="D68" s="140" t="s">
        <v>168</v>
      </c>
    </row>
    <row r="69" spans="1:21">
      <c r="A69" s="140" t="s">
        <v>619</v>
      </c>
      <c r="C69" s="140">
        <v>2017</v>
      </c>
      <c r="D69" s="140" t="s">
        <v>245</v>
      </c>
      <c r="E69" s="140" t="s">
        <v>620</v>
      </c>
    </row>
    <row r="70" spans="1:21">
      <c r="A70" s="140" t="s">
        <v>616</v>
      </c>
      <c r="C70" s="140">
        <v>1906</v>
      </c>
      <c r="D70" s="140" t="s">
        <v>617</v>
      </c>
    </row>
    <row r="71" spans="1:21">
      <c r="A71" s="140" t="s">
        <v>563</v>
      </c>
      <c r="C71" s="140">
        <v>88.5</v>
      </c>
      <c r="D71" s="140" t="s">
        <v>168</v>
      </c>
    </row>
    <row r="72" spans="1:21">
      <c r="A72" s="140" t="s">
        <v>562</v>
      </c>
      <c r="C72" s="140">
        <v>31</v>
      </c>
      <c r="D72" s="140">
        <v>31</v>
      </c>
      <c r="E72" s="140" t="s">
        <v>168</v>
      </c>
    </row>
    <row r="73" spans="1:21">
      <c r="A73" s="140" t="s">
        <v>675</v>
      </c>
      <c r="C73" s="140" t="s">
        <v>676</v>
      </c>
    </row>
    <row r="74" spans="1:21">
      <c r="A74" s="140" t="s">
        <v>456</v>
      </c>
      <c r="C74" s="140">
        <v>1.43</v>
      </c>
      <c r="D74" s="140" t="s">
        <v>457</v>
      </c>
    </row>
    <row r="75" spans="1:21">
      <c r="A75" s="140" t="s">
        <v>505</v>
      </c>
      <c r="C75" s="140">
        <v>712.4</v>
      </c>
      <c r="D75" s="140" t="s">
        <v>168</v>
      </c>
    </row>
    <row r="76" spans="1:21">
      <c r="A76" s="140" t="s">
        <v>499</v>
      </c>
      <c r="C76" s="140">
        <v>163</v>
      </c>
      <c r="D76" s="140">
        <v>264.42099999999999</v>
      </c>
      <c r="E76" s="140" t="s">
        <v>168</v>
      </c>
    </row>
    <row r="77" spans="1:21">
      <c r="A77" s="140" t="s">
        <v>499</v>
      </c>
      <c r="C77" s="140">
        <v>230.66300000000001</v>
      </c>
      <c r="D77" s="140">
        <v>336.584</v>
      </c>
    </row>
    <row r="78" spans="1:21">
      <c r="A78" s="140" t="s">
        <v>541</v>
      </c>
      <c r="C78" s="140">
        <v>4.58</v>
      </c>
      <c r="D78" s="140" t="s">
        <v>169</v>
      </c>
    </row>
    <row r="79" spans="1:21">
      <c r="A79" s="140" t="s">
        <v>422</v>
      </c>
      <c r="C79" s="140">
        <v>500</v>
      </c>
      <c r="D79" s="140" t="s">
        <v>423</v>
      </c>
      <c r="E79" s="140" t="s">
        <v>424</v>
      </c>
      <c r="F79" s="140" t="s">
        <v>425</v>
      </c>
      <c r="G79" s="140" t="s">
        <v>426</v>
      </c>
      <c r="H79" s="140">
        <v>60</v>
      </c>
      <c r="I79" s="140" t="s">
        <v>2</v>
      </c>
      <c r="J79" s="140" t="s">
        <v>427</v>
      </c>
      <c r="K79" s="140" t="s">
        <v>428</v>
      </c>
      <c r="L79" s="140" t="s">
        <v>429</v>
      </c>
      <c r="M79" s="140">
        <v>50</v>
      </c>
      <c r="N79" s="140" t="s">
        <v>430</v>
      </c>
      <c r="O79" s="140" t="s">
        <v>431</v>
      </c>
      <c r="P79" s="140" t="s">
        <v>432</v>
      </c>
      <c r="Q79" s="140" t="s">
        <v>433</v>
      </c>
    </row>
    <row r="80" spans="1:21">
      <c r="A80" s="140" t="s">
        <v>606</v>
      </c>
      <c r="C80" s="140">
        <v>0</v>
      </c>
      <c r="D80" s="140">
        <v>0</v>
      </c>
    </row>
    <row r="81" spans="1:11">
      <c r="A81" s="140" t="s">
        <v>508</v>
      </c>
      <c r="C81" s="140">
        <v>5.72</v>
      </c>
      <c r="D81" s="140">
        <v>0</v>
      </c>
      <c r="E81" s="140">
        <v>0.22</v>
      </c>
    </row>
    <row r="82" spans="1:11">
      <c r="A82" s="140" t="s">
        <v>508</v>
      </c>
      <c r="C82" s="140">
        <v>4.58</v>
      </c>
      <c r="D82" s="140">
        <v>0</v>
      </c>
      <c r="E82" s="140">
        <v>0</v>
      </c>
    </row>
    <row r="83" spans="1:11">
      <c r="A83" s="140" t="s">
        <v>522</v>
      </c>
      <c r="C83" s="140">
        <v>0.18</v>
      </c>
      <c r="D83" s="140" t="s">
        <v>168</v>
      </c>
    </row>
    <row r="84" spans="1:11">
      <c r="A84" s="140" t="s">
        <v>554</v>
      </c>
      <c r="C84" s="140">
        <v>1283.9000000000001</v>
      </c>
    </row>
    <row r="85" spans="1:11">
      <c r="A85" s="140" t="s">
        <v>540</v>
      </c>
      <c r="C85" s="140">
        <v>0.25</v>
      </c>
      <c r="D85" s="140">
        <v>9.7000000000000003E-2</v>
      </c>
      <c r="E85" s="140" t="s">
        <v>168</v>
      </c>
    </row>
    <row r="86" spans="1:11">
      <c r="A86" s="140" t="s">
        <v>545</v>
      </c>
      <c r="C86" s="140">
        <v>2.63</v>
      </c>
      <c r="D86" s="140" t="s">
        <v>168</v>
      </c>
    </row>
    <row r="87" spans="1:11">
      <c r="A87" s="140" t="s">
        <v>542</v>
      </c>
      <c r="C87" s="140" t="s">
        <v>543</v>
      </c>
      <c r="D87" s="140" t="s">
        <v>544</v>
      </c>
      <c r="E87" s="140">
        <v>0.25</v>
      </c>
      <c r="F87" s="140" t="s">
        <v>168</v>
      </c>
    </row>
    <row r="88" spans="1:11">
      <c r="A88" s="140" t="s">
        <v>516</v>
      </c>
      <c r="C88" s="140" t="s">
        <v>517</v>
      </c>
      <c r="D88" s="140" t="s">
        <v>518</v>
      </c>
      <c r="E88" s="140">
        <v>50</v>
      </c>
      <c r="F88" s="140">
        <v>6</v>
      </c>
      <c r="G88" s="140" t="s">
        <v>168</v>
      </c>
    </row>
    <row r="89" spans="1:11">
      <c r="A89" s="140" t="s">
        <v>582</v>
      </c>
      <c r="C89" s="140">
        <v>0</v>
      </c>
      <c r="D89" s="140">
        <v>0</v>
      </c>
    </row>
    <row r="90" spans="1:11">
      <c r="A90" s="140" t="s">
        <v>88</v>
      </c>
      <c r="C90" s="140">
        <v>415</v>
      </c>
      <c r="D90" s="140" t="s">
        <v>439</v>
      </c>
      <c r="E90" s="140">
        <v>3</v>
      </c>
      <c r="F90" s="140" t="s">
        <v>444</v>
      </c>
      <c r="G90" s="140" t="s">
        <v>441</v>
      </c>
      <c r="H90" s="140" t="s">
        <v>442</v>
      </c>
      <c r="I90" s="140" t="s">
        <v>443</v>
      </c>
      <c r="J90" s="140">
        <v>695.60299999999995</v>
      </c>
      <c r="K90" s="140">
        <v>695.60299999999995</v>
      </c>
    </row>
    <row r="91" spans="1:11">
      <c r="A91" s="140" t="s">
        <v>623</v>
      </c>
      <c r="C91" s="140">
        <v>66</v>
      </c>
      <c r="D91" s="140">
        <v>95</v>
      </c>
    </row>
    <row r="92" spans="1:11">
      <c r="A92" s="140" t="s">
        <v>557</v>
      </c>
      <c r="C92" s="140">
        <v>29</v>
      </c>
      <c r="D92" s="140" t="s">
        <v>168</v>
      </c>
    </row>
    <row r="93" spans="1:11">
      <c r="A93" s="140" t="s">
        <v>556</v>
      </c>
      <c r="C93" s="140">
        <v>1.5</v>
      </c>
      <c r="D93" s="140">
        <v>1.5</v>
      </c>
      <c r="E93" s="140">
        <v>7</v>
      </c>
    </row>
    <row r="94" spans="1:11">
      <c r="A94" s="140" t="s">
        <v>621</v>
      </c>
      <c r="C94" s="140">
        <v>1708</v>
      </c>
      <c r="D94" s="140" t="s">
        <v>245</v>
      </c>
      <c r="E94" s="140" t="s">
        <v>622</v>
      </c>
    </row>
    <row r="95" spans="1:11">
      <c r="A95" s="140" t="s">
        <v>618</v>
      </c>
      <c r="C95" s="140">
        <v>1603</v>
      </c>
      <c r="D95" s="140" t="s">
        <v>617</v>
      </c>
    </row>
    <row r="96" spans="1:11">
      <c r="A96" s="140" t="s">
        <v>485</v>
      </c>
      <c r="C96" s="140">
        <v>1.3</v>
      </c>
      <c r="D96" s="140" t="s">
        <v>168</v>
      </c>
    </row>
    <row r="97" spans="1:24">
      <c r="A97" s="140" t="s">
        <v>642</v>
      </c>
      <c r="D97" s="140" t="s">
        <v>643</v>
      </c>
      <c r="E97" s="140" t="s">
        <v>644</v>
      </c>
      <c r="F97" s="140">
        <v>0</v>
      </c>
      <c r="G97" s="140" t="s">
        <v>645</v>
      </c>
      <c r="H97" s="140">
        <v>0</v>
      </c>
      <c r="I97" s="140" t="s">
        <v>646</v>
      </c>
      <c r="J97" s="140">
        <v>0</v>
      </c>
      <c r="K97" s="140" t="s">
        <v>647</v>
      </c>
      <c r="L97" s="140">
        <v>0</v>
      </c>
      <c r="N97" s="140" t="s">
        <v>648</v>
      </c>
      <c r="O97" s="140">
        <v>1</v>
      </c>
      <c r="P97" s="140" t="s">
        <v>649</v>
      </c>
      <c r="Q97" s="140">
        <v>1</v>
      </c>
      <c r="R97" s="140" t="s">
        <v>650</v>
      </c>
      <c r="S97" s="140" t="s">
        <v>645</v>
      </c>
      <c r="T97" s="140">
        <v>1</v>
      </c>
      <c r="U97" s="140" t="s">
        <v>646</v>
      </c>
      <c r="V97" s="140">
        <v>1</v>
      </c>
      <c r="W97" s="140" t="s">
        <v>651</v>
      </c>
      <c r="X97" s="140">
        <v>1</v>
      </c>
    </row>
    <row r="98" spans="1:24">
      <c r="A98" s="140" t="s">
        <v>561</v>
      </c>
      <c r="C98" s="140">
        <v>42</v>
      </c>
      <c r="D98" s="140" t="s">
        <v>168</v>
      </c>
    </row>
    <row r="99" spans="1:24">
      <c r="A99" s="140" t="s">
        <v>581</v>
      </c>
      <c r="C99" s="140">
        <v>475</v>
      </c>
      <c r="D99" s="140">
        <v>3900</v>
      </c>
    </row>
    <row r="100" spans="1:24">
      <c r="A100" s="140" t="s">
        <v>520</v>
      </c>
      <c r="C100" s="140">
        <v>1786.7950000000001</v>
      </c>
      <c r="D100" s="140" t="s">
        <v>168</v>
      </c>
    </row>
    <row r="101" spans="1:24">
      <c r="A101" s="140" t="s">
        <v>515</v>
      </c>
      <c r="C101" s="140">
        <v>792.54</v>
      </c>
      <c r="D101" s="140" t="s">
        <v>168</v>
      </c>
    </row>
    <row r="102" spans="1:24">
      <c r="A102" s="140" t="s">
        <v>515</v>
      </c>
      <c r="C102" s="140">
        <v>1050.2</v>
      </c>
      <c r="D102" s="140" t="s">
        <v>168</v>
      </c>
    </row>
    <row r="103" spans="1:24">
      <c r="A103" s="140" t="s">
        <v>590</v>
      </c>
      <c r="C103" s="140">
        <v>379</v>
      </c>
      <c r="D103" s="140" t="s">
        <v>169</v>
      </c>
    </row>
    <row r="104" spans="1:24">
      <c r="A104" s="140" t="s">
        <v>610</v>
      </c>
      <c r="C104" s="140">
        <v>371</v>
      </c>
    </row>
    <row r="105" spans="1:24">
      <c r="A105" s="140" t="s">
        <v>580</v>
      </c>
      <c r="C105" s="140">
        <v>0.98</v>
      </c>
      <c r="D105" s="140">
        <v>6.12</v>
      </c>
    </row>
    <row r="106" spans="1:24">
      <c r="A106" s="140" t="s">
        <v>566</v>
      </c>
      <c r="C106" s="140">
        <v>1000</v>
      </c>
      <c r="D106" s="140" t="s">
        <v>567</v>
      </c>
    </row>
    <row r="107" spans="1:24">
      <c r="A107" s="140" t="s">
        <v>624</v>
      </c>
      <c r="C107" s="140">
        <v>470</v>
      </c>
      <c r="D107" s="140" t="s">
        <v>617</v>
      </c>
    </row>
    <row r="108" spans="1:24">
      <c r="A108" s="140" t="s">
        <v>596</v>
      </c>
      <c r="C108" s="140">
        <v>1</v>
      </c>
      <c r="D108" s="140">
        <v>2</v>
      </c>
      <c r="E108" s="140">
        <v>3</v>
      </c>
      <c r="F108" s="140">
        <v>4</v>
      </c>
      <c r="G108" s="140">
        <v>15</v>
      </c>
      <c r="H108" s="140">
        <v>5</v>
      </c>
      <c r="I108" s="140">
        <v>15</v>
      </c>
      <c r="J108" s="140">
        <v>5</v>
      </c>
    </row>
    <row r="109" spans="1:24">
      <c r="A109" s="140" t="s">
        <v>632</v>
      </c>
      <c r="C109" s="140" t="s">
        <v>87</v>
      </c>
      <c r="D109" s="140" t="s">
        <v>0</v>
      </c>
      <c r="E109" s="140" t="s">
        <v>633</v>
      </c>
      <c r="F109" s="140" t="s">
        <v>179</v>
      </c>
      <c r="G109" s="140" t="s">
        <v>634</v>
      </c>
      <c r="H109" s="140" t="s">
        <v>635</v>
      </c>
      <c r="I109" s="140">
        <v>1</v>
      </c>
      <c r="J109" s="140">
        <v>0.95</v>
      </c>
      <c r="K109" s="140" t="s">
        <v>88</v>
      </c>
      <c r="L109" s="140" t="s">
        <v>634</v>
      </c>
      <c r="M109" s="140" t="s">
        <v>636</v>
      </c>
      <c r="N109" s="140">
        <v>0.95</v>
      </c>
      <c r="O109" s="140" t="s">
        <v>637</v>
      </c>
      <c r="P109" s="140" t="s">
        <v>638</v>
      </c>
      <c r="Q109" s="140" t="s">
        <v>639</v>
      </c>
      <c r="R109" s="140" t="s">
        <v>640</v>
      </c>
      <c r="S109" s="140" t="s">
        <v>641</v>
      </c>
      <c r="T109" s="140" t="s">
        <v>247</v>
      </c>
    </row>
    <row r="110" spans="1:24">
      <c r="A110" s="140" t="s">
        <v>514</v>
      </c>
      <c r="C110" s="140">
        <v>12</v>
      </c>
    </row>
    <row r="111" spans="1:24">
      <c r="A111" s="140" t="s">
        <v>414</v>
      </c>
      <c r="C111" s="140">
        <v>5006.6414999999997</v>
      </c>
      <c r="D111" s="140" t="s">
        <v>415</v>
      </c>
      <c r="E111" s="140" t="s">
        <v>416</v>
      </c>
      <c r="F111" s="140" t="s">
        <v>417</v>
      </c>
      <c r="G111" s="140">
        <v>1</v>
      </c>
      <c r="H111" s="140" t="s">
        <v>418</v>
      </c>
      <c r="I111" s="140" t="s">
        <v>419</v>
      </c>
      <c r="J111" s="140" t="s">
        <v>420</v>
      </c>
      <c r="K111" s="140" t="s">
        <v>421</v>
      </c>
    </row>
    <row r="112" spans="1:24">
      <c r="A112" s="140" t="s">
        <v>503</v>
      </c>
      <c r="C112" s="140">
        <v>214.66300000000001</v>
      </c>
      <c r="D112" s="140">
        <v>320.584</v>
      </c>
      <c r="E112" s="140" t="s">
        <v>168</v>
      </c>
    </row>
    <row r="113" spans="1:10">
      <c r="A113" s="140" t="s">
        <v>503</v>
      </c>
      <c r="C113" s="140">
        <v>308.80399999999997</v>
      </c>
      <c r="D113" s="140">
        <v>414.72500000000002</v>
      </c>
    </row>
    <row r="114" spans="1:10">
      <c r="A114" s="140" t="s">
        <v>483</v>
      </c>
      <c r="C114" s="140">
        <v>1.462</v>
      </c>
    </row>
    <row r="115" spans="1:10">
      <c r="A115" s="140" t="s">
        <v>471</v>
      </c>
      <c r="C115" s="140">
        <v>388</v>
      </c>
      <c r="D115" s="140" t="s">
        <v>472</v>
      </c>
    </row>
    <row r="116" spans="1:10">
      <c r="A116" s="140" t="s">
        <v>560</v>
      </c>
      <c r="C116" s="140">
        <v>11</v>
      </c>
      <c r="D116" s="140" t="s">
        <v>168</v>
      </c>
    </row>
    <row r="117" spans="1:10">
      <c r="A117" s="140" t="s">
        <v>507</v>
      </c>
      <c r="C117" s="140">
        <v>30.33</v>
      </c>
      <c r="D117" s="140">
        <v>25.83</v>
      </c>
      <c r="E117" s="140">
        <v>25.83</v>
      </c>
    </row>
    <row r="118" spans="1:10">
      <c r="A118" s="140" t="s">
        <v>507</v>
      </c>
      <c r="C118" s="140">
        <v>39.07</v>
      </c>
      <c r="D118" s="140">
        <v>39.07</v>
      </c>
      <c r="E118" s="140">
        <v>39.07</v>
      </c>
    </row>
    <row r="119" spans="1:10">
      <c r="A119" s="140" t="s">
        <v>615</v>
      </c>
      <c r="C119" s="140">
        <v>18440</v>
      </c>
    </row>
    <row r="120" spans="1:10">
      <c r="A120" s="140" t="s">
        <v>573</v>
      </c>
      <c r="C120" s="140" t="s">
        <v>574</v>
      </c>
      <c r="D120" s="140" t="s">
        <v>575</v>
      </c>
      <c r="E120" s="140">
        <v>5.63</v>
      </c>
      <c r="F120" s="140">
        <v>7.37</v>
      </c>
    </row>
    <row r="121" spans="1:10">
      <c r="A121" s="140" t="s">
        <v>526</v>
      </c>
      <c r="C121" s="140">
        <v>1.1039999999999999E-3</v>
      </c>
      <c r="D121" s="140" t="s">
        <v>527</v>
      </c>
      <c r="E121" s="140">
        <v>75</v>
      </c>
      <c r="F121" s="140" t="s">
        <v>2</v>
      </c>
    </row>
    <row r="122" spans="1:10">
      <c r="A122" s="140" t="s">
        <v>526</v>
      </c>
      <c r="C122" s="140">
        <v>0.99619999999999997</v>
      </c>
      <c r="D122" s="140" t="s">
        <v>527</v>
      </c>
      <c r="E122" s="140">
        <v>75</v>
      </c>
      <c r="F122" s="140" t="s">
        <v>2</v>
      </c>
    </row>
    <row r="123" spans="1:10">
      <c r="A123" s="140" t="s">
        <v>598</v>
      </c>
      <c r="C123" s="140">
        <v>1</v>
      </c>
      <c r="D123" s="140">
        <v>2</v>
      </c>
      <c r="E123" s="140">
        <v>3</v>
      </c>
      <c r="F123" s="140">
        <v>4</v>
      </c>
      <c r="G123" s="140">
        <v>230</v>
      </c>
      <c r="H123" s="140">
        <v>50</v>
      </c>
      <c r="I123" s="140">
        <v>230</v>
      </c>
      <c r="J123" s="140">
        <v>50</v>
      </c>
    </row>
    <row r="124" spans="1:10">
      <c r="A124" s="140" t="s">
        <v>593</v>
      </c>
      <c r="C124" s="140">
        <v>1</v>
      </c>
      <c r="D124" s="140">
        <v>2</v>
      </c>
      <c r="E124" s="140">
        <v>3</v>
      </c>
      <c r="F124" s="140">
        <v>4</v>
      </c>
      <c r="G124" s="140">
        <v>700</v>
      </c>
      <c r="H124" s="140">
        <v>700</v>
      </c>
      <c r="I124" s="140">
        <v>700</v>
      </c>
      <c r="J124" s="140">
        <v>700</v>
      </c>
    </row>
    <row r="125" spans="1:10">
      <c r="A125" s="140" t="s">
        <v>599</v>
      </c>
      <c r="C125" s="140">
        <v>1</v>
      </c>
      <c r="D125" s="140">
        <v>2</v>
      </c>
      <c r="E125" s="140">
        <v>3</v>
      </c>
      <c r="F125" s="140">
        <v>4</v>
      </c>
      <c r="G125" s="140">
        <v>1125</v>
      </c>
      <c r="H125" s="140">
        <v>505</v>
      </c>
      <c r="I125" s="140">
        <v>1125</v>
      </c>
      <c r="J125" s="140">
        <v>505</v>
      </c>
    </row>
    <row r="126" spans="1:10">
      <c r="A126" s="140" t="s">
        <v>595</v>
      </c>
      <c r="C126" s="140">
        <v>1</v>
      </c>
      <c r="D126" s="140">
        <v>2</v>
      </c>
      <c r="E126" s="140">
        <v>3</v>
      </c>
      <c r="F126" s="140">
        <v>4</v>
      </c>
      <c r="G126" s="140">
        <v>75</v>
      </c>
      <c r="H126" s="140">
        <v>100</v>
      </c>
      <c r="I126" s="140">
        <v>75</v>
      </c>
      <c r="J126" s="140">
        <v>100</v>
      </c>
    </row>
    <row r="127" spans="1:10">
      <c r="A127" s="140" t="s">
        <v>601</v>
      </c>
      <c r="C127" s="140">
        <v>1</v>
      </c>
      <c r="D127" s="140">
        <v>2</v>
      </c>
      <c r="E127" s="140">
        <v>3</v>
      </c>
      <c r="F127" s="140">
        <v>4</v>
      </c>
      <c r="G127" s="140">
        <v>1.2</v>
      </c>
      <c r="H127" s="140">
        <v>1.2</v>
      </c>
      <c r="I127" s="140">
        <v>1.2</v>
      </c>
      <c r="J127" s="140">
        <v>1.2</v>
      </c>
    </row>
    <row r="128" spans="1:10">
      <c r="A128" s="140" t="s">
        <v>591</v>
      </c>
      <c r="C128" s="140">
        <v>0.13</v>
      </c>
      <c r="D128" s="140" t="s">
        <v>592</v>
      </c>
      <c r="E128" s="140" t="s">
        <v>462</v>
      </c>
      <c r="F128" s="140">
        <v>118</v>
      </c>
    </row>
    <row r="129" spans="1:7">
      <c r="A129" s="140" t="s">
        <v>512</v>
      </c>
      <c r="C129" s="140">
        <v>36445</v>
      </c>
      <c r="D129" s="140" t="s">
        <v>513</v>
      </c>
    </row>
    <row r="130" spans="1:7">
      <c r="A130" s="140" t="s">
        <v>467</v>
      </c>
      <c r="C130" s="140">
        <v>45.6</v>
      </c>
      <c r="D130" s="140" t="s">
        <v>468</v>
      </c>
      <c r="E130" s="140">
        <v>909</v>
      </c>
      <c r="F130" s="140" t="s">
        <v>430</v>
      </c>
    </row>
    <row r="131" spans="1:7">
      <c r="A131" s="140" t="s">
        <v>478</v>
      </c>
      <c r="C131" s="140" t="s">
        <v>479</v>
      </c>
      <c r="D131" s="140" t="s">
        <v>480</v>
      </c>
    </row>
    <row r="132" spans="1:7">
      <c r="A132" s="140" t="s">
        <v>450</v>
      </c>
      <c r="C132" s="140">
        <v>160</v>
      </c>
      <c r="D132" s="140">
        <v>100.157</v>
      </c>
      <c r="E132" s="140" t="s">
        <v>168</v>
      </c>
      <c r="F132" s="140">
        <v>379.1</v>
      </c>
      <c r="G132" s="140" t="s">
        <v>169</v>
      </c>
    </row>
    <row r="133" spans="1:7">
      <c r="A133" s="140" t="s">
        <v>455</v>
      </c>
      <c r="C133" s="140">
        <v>150</v>
      </c>
      <c r="D133" s="140">
        <v>56.12</v>
      </c>
      <c r="E133" s="140" t="s">
        <v>168</v>
      </c>
      <c r="F133" s="140">
        <v>197.3</v>
      </c>
      <c r="G133" s="140" t="s">
        <v>169</v>
      </c>
    </row>
    <row r="134" spans="1:7">
      <c r="A134" s="140" t="s">
        <v>459</v>
      </c>
      <c r="C134" s="140">
        <v>110</v>
      </c>
      <c r="D134" s="140">
        <v>60.26</v>
      </c>
      <c r="E134" s="140" t="s">
        <v>168</v>
      </c>
      <c r="F134" s="140">
        <v>149.5</v>
      </c>
      <c r="G134" s="140" t="s">
        <v>169</v>
      </c>
    </row>
    <row r="135" spans="1:7">
      <c r="A135" s="140" t="s">
        <v>463</v>
      </c>
      <c r="C135" s="140">
        <v>90</v>
      </c>
      <c r="D135" s="140">
        <v>16.100000000000001</v>
      </c>
      <c r="E135" s="140" t="s">
        <v>168</v>
      </c>
      <c r="F135" s="140">
        <v>32.700000000000003</v>
      </c>
      <c r="G135" s="140" t="s">
        <v>169</v>
      </c>
    </row>
    <row r="136" spans="1:7">
      <c r="A136" s="140" t="s">
        <v>466</v>
      </c>
      <c r="C136" s="140">
        <v>0</v>
      </c>
      <c r="D136" s="140">
        <v>0</v>
      </c>
      <c r="E136" s="140" t="s">
        <v>168</v>
      </c>
      <c r="F136" s="140">
        <v>0</v>
      </c>
      <c r="G136" s="140" t="s">
        <v>169</v>
      </c>
    </row>
    <row r="137" spans="1:7">
      <c r="A137" s="140" t="s">
        <v>470</v>
      </c>
      <c r="C137" s="140">
        <v>0</v>
      </c>
      <c r="D137" s="140">
        <v>0</v>
      </c>
      <c r="E137" s="140" t="s">
        <v>168</v>
      </c>
      <c r="F137" s="140">
        <v>0</v>
      </c>
      <c r="G137" s="140" t="s">
        <v>169</v>
      </c>
    </row>
    <row r="138" spans="1:7">
      <c r="A138" s="140" t="s">
        <v>474</v>
      </c>
      <c r="C138" s="140">
        <v>0</v>
      </c>
      <c r="D138" s="140">
        <v>0</v>
      </c>
      <c r="E138" s="140" t="s">
        <v>168</v>
      </c>
      <c r="F138" s="140">
        <v>0</v>
      </c>
      <c r="G138" s="140" t="s">
        <v>169</v>
      </c>
    </row>
    <row r="139" spans="1:7">
      <c r="A139" s="140" t="s">
        <v>477</v>
      </c>
      <c r="C139" s="140">
        <v>0</v>
      </c>
      <c r="D139" s="140">
        <v>0</v>
      </c>
      <c r="E139" s="140" t="s">
        <v>168</v>
      </c>
      <c r="F139" s="140">
        <v>0</v>
      </c>
      <c r="G139" s="140" t="s">
        <v>169</v>
      </c>
    </row>
    <row r="140" spans="1:7">
      <c r="A140" s="140" t="s">
        <v>482</v>
      </c>
      <c r="C140" s="140">
        <v>0</v>
      </c>
      <c r="D140" s="140">
        <v>0</v>
      </c>
      <c r="E140" s="140" t="s">
        <v>168</v>
      </c>
      <c r="F140" s="140">
        <v>0</v>
      </c>
      <c r="G140" s="140" t="s">
        <v>169</v>
      </c>
    </row>
    <row r="141" spans="1:7">
      <c r="A141" s="140" t="s">
        <v>484</v>
      </c>
      <c r="C141" s="140">
        <v>2.2469999999999999</v>
      </c>
      <c r="D141" s="140" t="s">
        <v>168</v>
      </c>
    </row>
    <row r="142" spans="1:7">
      <c r="A142" s="140" t="s">
        <v>500</v>
      </c>
      <c r="C142" s="140">
        <v>1</v>
      </c>
      <c r="D142" s="140">
        <v>1</v>
      </c>
      <c r="E142" s="140">
        <v>425</v>
      </c>
      <c r="F142" s="140">
        <v>0.85</v>
      </c>
    </row>
    <row r="143" spans="1:7">
      <c r="A143" s="140" t="s">
        <v>523</v>
      </c>
      <c r="C143" s="140">
        <v>57.8</v>
      </c>
      <c r="D143" s="140">
        <v>18.100000000000001</v>
      </c>
      <c r="E143" s="140" t="s">
        <v>524</v>
      </c>
      <c r="F143" s="140" t="s">
        <v>2</v>
      </c>
    </row>
    <row r="144" spans="1:7">
      <c r="A144" s="140" t="s">
        <v>523</v>
      </c>
      <c r="C144" s="140">
        <v>56.7</v>
      </c>
      <c r="D144" s="140">
        <v>17</v>
      </c>
      <c r="E144" s="140" t="s">
        <v>524</v>
      </c>
      <c r="F144" s="140" t="s">
        <v>2</v>
      </c>
    </row>
    <row r="145" spans="1:12">
      <c r="A145" s="140" t="s">
        <v>677</v>
      </c>
      <c r="C145" s="140">
        <v>1</v>
      </c>
      <c r="D145" s="140">
        <v>694</v>
      </c>
      <c r="E145" s="140">
        <v>2</v>
      </c>
      <c r="F145" s="140">
        <v>677</v>
      </c>
      <c r="G145" s="140">
        <v>3</v>
      </c>
      <c r="H145" s="140">
        <v>661</v>
      </c>
      <c r="I145" s="140">
        <v>4</v>
      </c>
      <c r="J145" s="140">
        <v>644</v>
      </c>
      <c r="K145" s="140">
        <v>5</v>
      </c>
      <c r="L145" s="140">
        <v>628</v>
      </c>
    </row>
    <row r="146" spans="1:12">
      <c r="A146" s="140" t="s">
        <v>577</v>
      </c>
      <c r="C146" s="140">
        <v>55</v>
      </c>
      <c r="D146" s="140" t="s">
        <v>524</v>
      </c>
      <c r="E146" s="140" t="s">
        <v>2</v>
      </c>
    </row>
    <row r="147" spans="1:12">
      <c r="A147" s="140" t="s">
        <v>630</v>
      </c>
      <c r="C147" s="140">
        <v>49.6</v>
      </c>
      <c r="D147" s="140" t="s">
        <v>524</v>
      </c>
      <c r="E147" s="140" t="s">
        <v>2</v>
      </c>
    </row>
    <row r="148" spans="1:12">
      <c r="A148" s="140" t="s">
        <v>625</v>
      </c>
      <c r="C148" s="140">
        <v>3886</v>
      </c>
      <c r="D148" s="140" t="s">
        <v>245</v>
      </c>
      <c r="E148" s="140" t="s">
        <v>626</v>
      </c>
    </row>
    <row r="149" spans="1:12">
      <c r="A149" s="140" t="s">
        <v>519</v>
      </c>
      <c r="C149" s="140">
        <v>200.28</v>
      </c>
      <c r="D149" s="140" t="s">
        <v>169</v>
      </c>
    </row>
    <row r="150" spans="1:12">
      <c r="A150" s="140" t="s">
        <v>519</v>
      </c>
      <c r="C150" s="140">
        <v>288.94</v>
      </c>
      <c r="D150" s="140" t="s">
        <v>169</v>
      </c>
    </row>
    <row r="151" spans="1:12">
      <c r="A151" s="140" t="s">
        <v>558</v>
      </c>
      <c r="C151" s="140">
        <v>14</v>
      </c>
      <c r="D151" s="140" t="s">
        <v>168</v>
      </c>
    </row>
    <row r="152" spans="1:12">
      <c r="A152" s="140" t="s">
        <v>511</v>
      </c>
      <c r="C152" s="140">
        <v>5.94</v>
      </c>
      <c r="D152" s="140" t="s">
        <v>169</v>
      </c>
    </row>
    <row r="153" spans="1:12">
      <c r="A153" s="140" t="s">
        <v>627</v>
      </c>
      <c r="C153" s="140">
        <v>4357</v>
      </c>
      <c r="D153" s="140" t="s">
        <v>527</v>
      </c>
      <c r="E153" s="140">
        <v>75</v>
      </c>
      <c r="F153" s="140" t="s">
        <v>2</v>
      </c>
    </row>
    <row r="154" spans="1:12">
      <c r="A154" s="140" t="s">
        <v>600</v>
      </c>
      <c r="C154" s="140">
        <v>1925</v>
      </c>
      <c r="D154" s="140" t="s">
        <v>169</v>
      </c>
    </row>
    <row r="155" spans="1:12">
      <c r="A155" s="140" t="s">
        <v>528</v>
      </c>
      <c r="C155" s="140">
        <v>361.25</v>
      </c>
      <c r="D155" s="140" t="s">
        <v>502</v>
      </c>
    </row>
    <row r="156" spans="1:12">
      <c r="A156" s="140" t="s">
        <v>576</v>
      </c>
      <c r="C156" s="140">
        <v>2.1800000000000002</v>
      </c>
      <c r="D156" s="140">
        <v>3.28</v>
      </c>
      <c r="E156" s="140">
        <v>4.1399999999999997</v>
      </c>
    </row>
    <row r="157" spans="1:12">
      <c r="A157" s="140" t="s">
        <v>498</v>
      </c>
      <c r="C157" s="140">
        <v>1</v>
      </c>
      <c r="D157" s="140">
        <v>24</v>
      </c>
    </row>
    <row r="158" spans="1:12">
      <c r="A158" s="140" t="s">
        <v>536</v>
      </c>
      <c r="C158" s="140">
        <v>694</v>
      </c>
      <c r="D158" s="140">
        <v>661</v>
      </c>
    </row>
    <row r="159" spans="1:12">
      <c r="A159" s="140" t="s">
        <v>493</v>
      </c>
      <c r="C159" s="140" t="s">
        <v>494</v>
      </c>
      <c r="D159" s="140" t="s">
        <v>495</v>
      </c>
    </row>
    <row r="160" spans="1:12">
      <c r="A160" s="140" t="s">
        <v>493</v>
      </c>
      <c r="C160" s="140" t="s">
        <v>229</v>
      </c>
      <c r="D160" s="140" t="s">
        <v>531</v>
      </c>
      <c r="E160" s="140" t="s">
        <v>442</v>
      </c>
    </row>
    <row r="161" spans="1:31">
      <c r="A161" s="140" t="s">
        <v>669</v>
      </c>
      <c r="C161" s="140" t="s">
        <v>670</v>
      </c>
      <c r="D161" s="140" t="s">
        <v>671</v>
      </c>
      <c r="E161" s="140" t="s">
        <v>672</v>
      </c>
    </row>
    <row r="162" spans="1:31">
      <c r="A162" s="140" t="s">
        <v>673</v>
      </c>
      <c r="C162" s="140" t="s">
        <v>670</v>
      </c>
      <c r="D162" s="140" t="s">
        <v>674</v>
      </c>
      <c r="E162" s="140" t="s">
        <v>672</v>
      </c>
    </row>
    <row r="163" spans="1:31">
      <c r="A163" s="140" t="s">
        <v>475</v>
      </c>
      <c r="C163" s="140">
        <v>0.90010000000000001</v>
      </c>
    </row>
    <row r="164" spans="1:31">
      <c r="A164" s="140" t="s">
        <v>612</v>
      </c>
      <c r="C164" s="140">
        <v>9220</v>
      </c>
    </row>
    <row r="165" spans="1:31">
      <c r="A165" s="140" t="s">
        <v>460</v>
      </c>
      <c r="C165" s="140">
        <v>9.9830000000000005</v>
      </c>
      <c r="D165" s="140">
        <v>0.64800000000000002</v>
      </c>
      <c r="E165" s="140">
        <v>0.51800000000000002</v>
      </c>
    </row>
    <row r="166" spans="1:31">
      <c r="A166" s="140" t="s">
        <v>525</v>
      </c>
      <c r="C166" s="140">
        <v>792.53200000000004</v>
      </c>
    </row>
    <row r="167" spans="1:31">
      <c r="A167" s="140" t="s">
        <v>525</v>
      </c>
      <c r="C167" s="140">
        <v>862.75099999999998</v>
      </c>
    </row>
    <row r="168" spans="1:31">
      <c r="A168" s="140" t="s">
        <v>572</v>
      </c>
      <c r="C168" s="140">
        <v>60</v>
      </c>
      <c r="D168" s="140" t="s">
        <v>524</v>
      </c>
      <c r="E168" s="140" t="s">
        <v>2</v>
      </c>
    </row>
    <row r="169" spans="1:31">
      <c r="A169" s="140" t="s">
        <v>465</v>
      </c>
      <c r="C169" s="140">
        <v>435.9</v>
      </c>
      <c r="D169" s="140" t="s">
        <v>169</v>
      </c>
    </row>
    <row r="170" spans="1:31">
      <c r="A170" s="140" t="s">
        <v>469</v>
      </c>
      <c r="C170" s="140">
        <v>290.3</v>
      </c>
      <c r="D170" s="140" t="s">
        <v>169</v>
      </c>
    </row>
    <row r="171" spans="1:31">
      <c r="A171" s="140" t="s">
        <v>454</v>
      </c>
      <c r="C171" s="140">
        <v>483</v>
      </c>
      <c r="D171" s="140" t="s">
        <v>168</v>
      </c>
    </row>
    <row r="172" spans="1:31">
      <c r="A172" s="141" t="s">
        <v>564</v>
      </c>
      <c r="B172" s="141"/>
      <c r="C172" s="141">
        <v>176</v>
      </c>
      <c r="D172" s="141">
        <v>41</v>
      </c>
      <c r="E172" s="141" t="s">
        <v>168</v>
      </c>
      <c r="F172" s="141"/>
      <c r="G172" s="141"/>
      <c r="H172" s="141"/>
      <c r="I172" s="141"/>
      <c r="J172" s="141"/>
      <c r="K172" s="141"/>
      <c r="L172" s="141"/>
      <c r="M172" s="141"/>
      <c r="N172" s="141"/>
      <c r="O172" s="141"/>
      <c r="P172" s="141"/>
      <c r="Q172" s="141"/>
      <c r="R172" s="141"/>
      <c r="S172" s="141"/>
      <c r="T172" s="141"/>
      <c r="U172" s="141"/>
      <c r="V172" s="141"/>
      <c r="W172" s="141"/>
      <c r="X172" s="141"/>
      <c r="Y172" s="141"/>
      <c r="Z172" s="141"/>
      <c r="AA172" s="141"/>
      <c r="AB172" s="141"/>
      <c r="AC172" s="141"/>
      <c r="AD172" s="141"/>
      <c r="AE172" s="1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topLeftCell="A26" zoomScale="115" zoomScaleNormal="115" workbookViewId="0">
      <selection activeCell="I56" sqref="I56"/>
    </sheetView>
  </sheetViews>
  <sheetFormatPr baseColWidth="10" defaultColWidth="9.1640625" defaultRowHeight="13"/>
  <cols>
    <col min="1" max="1" width="9.1640625" style="24"/>
    <col min="2" max="2" width="42.83203125" style="24" customWidth="1"/>
    <col min="3" max="3" width="28.6640625" style="25" customWidth="1"/>
    <col min="4" max="4" width="9.1640625" style="38"/>
    <col min="5" max="5" width="9.1640625" style="24"/>
    <col min="6" max="6" width="15.6640625" style="25" customWidth="1"/>
    <col min="7" max="7" width="15" style="24" customWidth="1"/>
    <col min="8" max="14" width="9.1640625" style="24"/>
    <col min="15" max="15" width="19.5" style="24" customWidth="1"/>
    <col min="16" max="16384" width="9.1640625" style="24"/>
  </cols>
  <sheetData>
    <row r="1" spans="2:16">
      <c r="B1" s="22" t="s">
        <v>353</v>
      </c>
      <c r="C1" s="23" t="s">
        <v>366</v>
      </c>
    </row>
    <row r="2" spans="2:16">
      <c r="B2" s="22" t="s">
        <v>367</v>
      </c>
      <c r="C2" s="23" t="s">
        <v>365</v>
      </c>
    </row>
    <row r="5" spans="2:16">
      <c r="B5" s="22" t="s">
        <v>86</v>
      </c>
      <c r="C5" s="109">
        <f>VLOOKUP("KVA", Design!1:200, 3, 0)</f>
        <v>500</v>
      </c>
      <c r="F5" s="23" t="s">
        <v>257</v>
      </c>
      <c r="G5" s="68" t="s">
        <v>261</v>
      </c>
    </row>
    <row r="6" spans="2:16">
      <c r="B6" s="22" t="s">
        <v>87</v>
      </c>
      <c r="C6" s="109">
        <f>VLOOKUP("HV", Design!1:200, 3, 0)</f>
        <v>6600</v>
      </c>
      <c r="F6" s="23">
        <v>0</v>
      </c>
      <c r="G6" s="68" t="s">
        <v>262</v>
      </c>
    </row>
    <row r="7" spans="2:16">
      <c r="B7" s="22" t="s">
        <v>88</v>
      </c>
      <c r="C7" s="109">
        <f>VLOOKUP("LV", Design!1:200, 3, 0)</f>
        <v>415</v>
      </c>
      <c r="F7" s="23">
        <v>0.33</v>
      </c>
      <c r="G7" s="68" t="s">
        <v>264</v>
      </c>
    </row>
    <row r="8" spans="2:16">
      <c r="B8" s="111"/>
      <c r="C8" s="111"/>
      <c r="F8" s="23">
        <v>0.67</v>
      </c>
      <c r="G8" s="68"/>
    </row>
    <row r="9" spans="2:16">
      <c r="B9" s="22" t="s">
        <v>84</v>
      </c>
      <c r="C9" s="109">
        <f>ROUND(VLOOKUP("Center to Center..",Design!1:200,3,0),0)</f>
        <v>320</v>
      </c>
      <c r="D9" s="38">
        <f>C9/2</f>
        <v>160</v>
      </c>
      <c r="F9" s="23">
        <v>1</v>
      </c>
      <c r="G9" s="68"/>
    </row>
    <row r="10" spans="2:16">
      <c r="B10" s="22" t="s">
        <v>85</v>
      </c>
      <c r="C10" s="109">
        <f>VLOOKUP("Window Height.....", Design!1:200, 3, 0)</f>
        <v>483</v>
      </c>
    </row>
    <row r="11" spans="2:16">
      <c r="B11" s="111"/>
      <c r="C11" s="111"/>
    </row>
    <row r="12" spans="2:16">
      <c r="B12" s="22" t="s">
        <v>59</v>
      </c>
      <c r="C12" s="109">
        <f>VLOOKUP("Step 1", Design!1:200, 3, 0)</f>
        <v>160</v>
      </c>
      <c r="D12" s="38">
        <f>C12*C13+C14*C15+C16*C17+C20*C21+C20*C22+C18*C19</f>
        <v>31329</v>
      </c>
      <c r="O12" s="22" t="s">
        <v>92</v>
      </c>
      <c r="P12" s="22">
        <f>(C32+C33+C34)/3</f>
        <v>27.33</v>
      </c>
    </row>
    <row r="13" spans="2:16">
      <c r="B13" s="22" t="s">
        <v>60</v>
      </c>
      <c r="C13" s="23">
        <v>102</v>
      </c>
      <c r="O13" s="111"/>
      <c r="P13" s="111"/>
    </row>
    <row r="14" spans="2:16">
      <c r="B14" s="22" t="s">
        <v>61</v>
      </c>
      <c r="C14" s="109">
        <f>VLOOKUP("Step 2", Design!1:200, 3, 0)</f>
        <v>150</v>
      </c>
      <c r="O14" s="22" t="s">
        <v>93</v>
      </c>
      <c r="P14" s="22">
        <f>(C41+C42+C43)/3</f>
        <v>39.07</v>
      </c>
    </row>
    <row r="15" spans="2:16">
      <c r="B15" s="22" t="s">
        <v>62</v>
      </c>
      <c r="C15" s="23">
        <v>56</v>
      </c>
    </row>
    <row r="16" spans="2:16">
      <c r="B16" s="22" t="s">
        <v>63</v>
      </c>
      <c r="C16" s="109">
        <f>VLOOKUP("Step 3", Design!1:200, 3, 0)</f>
        <v>110</v>
      </c>
    </row>
    <row r="17" spans="1:16" ht="14" thickBot="1">
      <c r="B17" s="59" t="s">
        <v>64</v>
      </c>
      <c r="C17" s="60">
        <v>60</v>
      </c>
      <c r="O17" s="22" t="s">
        <v>98</v>
      </c>
      <c r="P17" s="22" t="str">
        <f>IF(C35&gt;0,IF(C36&gt;0,"0.33","0.5"),"0.5")</f>
        <v>0.33</v>
      </c>
    </row>
    <row r="18" spans="1:16">
      <c r="B18" s="62" t="s">
        <v>65</v>
      </c>
      <c r="C18" s="135">
        <f>VLOOKUP("Step 4", Design!1:200, 3, 0)</f>
        <v>90</v>
      </c>
      <c r="O18" s="22" t="s">
        <v>97</v>
      </c>
      <c r="P18" s="22" t="str">
        <f>IF(C36&gt;0,"0.67","0")</f>
        <v>0.67</v>
      </c>
    </row>
    <row r="19" spans="1:16" ht="14" thickBot="1">
      <c r="B19" s="63" t="s">
        <v>80</v>
      </c>
      <c r="C19" s="64">
        <v>0.1</v>
      </c>
      <c r="O19" s="22" t="s">
        <v>99</v>
      </c>
      <c r="P19" s="22" t="str">
        <f>IF(C35=1,"1",IF(C35=0.33,"0.33",IF(C35=0.67,"0.33","0")))</f>
        <v>1</v>
      </c>
    </row>
    <row r="20" spans="1:16">
      <c r="B20" s="61" t="s">
        <v>81</v>
      </c>
      <c r="C20" s="136">
        <f>VLOOKUP("Step 5", Design!1:200, 3, 0)</f>
        <v>0</v>
      </c>
      <c r="O20" s="22" t="s">
        <v>100</v>
      </c>
      <c r="P20" s="22" t="str">
        <f>IF(C36=1,"1",IF(C36=0.33,"0.33",IF(C36=0.67,"0.33","0")))</f>
        <v>0.33</v>
      </c>
    </row>
    <row r="21" spans="1:16">
      <c r="B21" s="22" t="s">
        <v>82</v>
      </c>
      <c r="C21" s="23">
        <v>8</v>
      </c>
    </row>
    <row r="22" spans="1:16">
      <c r="B22" s="22" t="s">
        <v>83</v>
      </c>
      <c r="C22" s="23">
        <v>6</v>
      </c>
    </row>
    <row r="23" spans="1:16">
      <c r="B23" s="111"/>
      <c r="C23" s="111"/>
    </row>
    <row r="24" spans="1:16">
      <c r="B24" s="22" t="s">
        <v>66</v>
      </c>
      <c r="C24" s="23">
        <v>50</v>
      </c>
    </row>
    <row r="25" spans="1:16">
      <c r="B25" s="22" t="s">
        <v>67</v>
      </c>
      <c r="C25" s="23">
        <v>0</v>
      </c>
      <c r="H25" s="24" t="s">
        <v>91</v>
      </c>
      <c r="O25" s="22" t="s">
        <v>101</v>
      </c>
      <c r="P25" s="22">
        <f>IF(C29=100,IF(C30=20,2,1),0)</f>
        <v>0</v>
      </c>
    </row>
    <row r="26" spans="1:16">
      <c r="B26" s="22" t="s">
        <v>90</v>
      </c>
      <c r="C26" s="23">
        <v>6</v>
      </c>
    </row>
    <row r="27" spans="1:16">
      <c r="B27" s="22" t="s">
        <v>68</v>
      </c>
      <c r="C27" s="23">
        <v>1.5</v>
      </c>
    </row>
    <row r="28" spans="1:16">
      <c r="B28" s="112"/>
      <c r="C28" s="113"/>
    </row>
    <row r="29" spans="1:16">
      <c r="A29" s="58"/>
      <c r="B29" s="22" t="s">
        <v>69</v>
      </c>
      <c r="C29" s="109">
        <f>VLOOKUP("Lead", Design!1:200, 5, 0)</f>
        <v>50</v>
      </c>
    </row>
    <row r="30" spans="1:16">
      <c r="A30" s="58"/>
      <c r="B30" s="22" t="s">
        <v>70</v>
      </c>
      <c r="C30" s="109">
        <f>VLOOKUP("Lead", Design!2:201, 6, 0)</f>
        <v>6</v>
      </c>
      <c r="O30" s="22" t="s">
        <v>103</v>
      </c>
      <c r="P30" s="22" t="str">
        <f>IF(C44&gt;0,IF(C45&gt;0,"0.33","0.5"),"0.5")</f>
        <v>0.5</v>
      </c>
    </row>
    <row r="31" spans="1:16">
      <c r="A31" s="58"/>
      <c r="B31" s="22"/>
      <c r="C31" s="23"/>
      <c r="O31" s="22" t="s">
        <v>104</v>
      </c>
      <c r="P31" s="22" t="str">
        <f>IF(C45&gt;0,"0.67","0")</f>
        <v>0</v>
      </c>
    </row>
    <row r="32" spans="1:16">
      <c r="A32" s="58"/>
      <c r="B32" s="22" t="s">
        <v>71</v>
      </c>
      <c r="C32" s="109">
        <f>VLOOKUP("Rad Blds (H,Leg,L)", Design!1:200, 3, 0)</f>
        <v>30.33</v>
      </c>
      <c r="O32" s="22" t="s">
        <v>105</v>
      </c>
      <c r="P32" s="22" t="str">
        <f>IF(C44=1,"1",IF(C44=0.33,"0.33",IF(C44=0.67,"0.33","0")))</f>
        <v>0</v>
      </c>
    </row>
    <row r="33" spans="1:16">
      <c r="A33" s="58"/>
      <c r="B33" s="22" t="s">
        <v>72</v>
      </c>
      <c r="C33" s="109">
        <f>VLOOKUP("Rad Blds (H,Leg,L)", Design!2:201, 4, 0)</f>
        <v>25.83</v>
      </c>
      <c r="O33" s="22" t="s">
        <v>106</v>
      </c>
      <c r="P33" s="22" t="str">
        <f>IF(C45=1,"1",IF(C45=0.33,"0.33",IF(C45=0.67,"0.33","0")))</f>
        <v>0</v>
      </c>
    </row>
    <row r="34" spans="1:16">
      <c r="A34" s="58"/>
      <c r="B34" s="22" t="s">
        <v>73</v>
      </c>
      <c r="C34" s="109">
        <f>VLOOKUP("Rad Blds (H,Leg,L)", Design!3:202, 5, 0)</f>
        <v>25.83</v>
      </c>
    </row>
    <row r="35" spans="1:16">
      <c r="A35" s="58"/>
      <c r="B35" s="22" t="s">
        <v>95</v>
      </c>
      <c r="C35" s="109">
        <f>IF(VLOOKUP("Cooling Ducts Tk/#", Design!4:203, 5, 0)&gt;1, 1, VLOOKUP("Cooling Ducts Tk/#", Design!4:203, 5, 0))</f>
        <v>1</v>
      </c>
    </row>
    <row r="36" spans="1:16">
      <c r="A36" s="58"/>
      <c r="B36" s="22" t="s">
        <v>96</v>
      </c>
      <c r="C36" s="137">
        <f>IF(VLOOKUP("Cooling Ducts Tk/#", Design!5:204, 5, 0)&gt;1, VLOOKUP("Cooling Ducts Tk/#", Design!5:204, 5, 0)-1, 1)</f>
        <v>0.33000000000000007</v>
      </c>
    </row>
    <row r="37" spans="1:16">
      <c r="B37" s="112"/>
      <c r="C37" s="113"/>
    </row>
    <row r="38" spans="1:16">
      <c r="B38" s="22" t="s">
        <v>74</v>
      </c>
      <c r="C38" s="109">
        <f>VLOOKUP("Eff Hi-Lo ElecSpan", Design!1:200, 3, 0)</f>
        <v>8</v>
      </c>
    </row>
    <row r="39" spans="1:16">
      <c r="B39" s="22" t="s">
        <v>89</v>
      </c>
      <c r="C39" s="23">
        <v>0</v>
      </c>
    </row>
    <row r="40" spans="1:16">
      <c r="B40" s="112"/>
      <c r="C40" s="113"/>
    </row>
    <row r="41" spans="1:16">
      <c r="B41" s="22" t="s">
        <v>75</v>
      </c>
      <c r="C41" s="109" cm="1">
        <f t="array" ref="C41">INDEX(Design!C:C, SMALL(IF(Design!A:A="Rad Blds (H,Leg,L)", ROW(Design!A:A)-MIN(ROW(Design!A:A))+1, ""), 2))</f>
        <v>39.07</v>
      </c>
    </row>
    <row r="42" spans="1:16">
      <c r="B42" s="22" t="s">
        <v>76</v>
      </c>
      <c r="C42" s="109" cm="1">
        <f t="array" ref="C42">INDEX(Design!D:D, SMALL(IF(Design!A:A="Rad Blds (H,Leg,L)", ROW(Design!A:A)-MIN(ROW(Design!A:A))+1, ""), 2))</f>
        <v>39.07</v>
      </c>
    </row>
    <row r="43" spans="1:16">
      <c r="B43" s="22" t="s">
        <v>77</v>
      </c>
      <c r="C43" s="109" cm="1">
        <f t="array" ref="C43">INDEX(Design!E:E, SMALL(IF(Design!A:A="Rad Blds (H,Leg,L)", ROW(A:A)-MIN(ROW(A:A))+1, ""), 2))</f>
        <v>39.07</v>
      </c>
    </row>
    <row r="44" spans="1:16">
      <c r="B44" s="22" t="s">
        <v>95</v>
      </c>
      <c r="C44" s="23">
        <v>0</v>
      </c>
    </row>
    <row r="45" spans="1:16">
      <c r="B45" s="22" t="s">
        <v>96</v>
      </c>
      <c r="C45" s="23">
        <v>0</v>
      </c>
    </row>
    <row r="46" spans="1:16">
      <c r="B46" s="112"/>
      <c r="C46" s="113"/>
    </row>
    <row r="47" spans="1:16">
      <c r="B47" s="22" t="s">
        <v>78</v>
      </c>
      <c r="C47" s="109">
        <f>VLOOKUP("Coil-Length.......", Design!1:200, 3, 0)</f>
        <v>465</v>
      </c>
    </row>
    <row r="48" spans="1:16">
      <c r="B48" s="22" t="s">
        <v>79</v>
      </c>
      <c r="C48" s="109">
        <f>VLOOKUP("ELECT LENGTH......", Design!2:201, 3, 0)</f>
        <v>425</v>
      </c>
    </row>
    <row r="49" spans="2:3">
      <c r="B49" s="22" t="s">
        <v>532</v>
      </c>
      <c r="C49" s="109">
        <f>VLOOKUP("Cond Mec/Elec Lgth", Design!3:202, 3, 0)</f>
        <v>411</v>
      </c>
    </row>
    <row r="52" spans="2:3">
      <c r="B52" s="22" t="s">
        <v>117</v>
      </c>
      <c r="C52" s="23">
        <v>180</v>
      </c>
    </row>
    <row r="53" spans="2:3">
      <c r="B53" s="22" t="s">
        <v>114</v>
      </c>
      <c r="C53" s="23">
        <v>60</v>
      </c>
    </row>
    <row r="55" spans="2:3">
      <c r="B55" s="22" t="s">
        <v>136</v>
      </c>
      <c r="C55" s="23">
        <v>46</v>
      </c>
    </row>
    <row r="56" spans="2:3">
      <c r="B56" s="22" t="s">
        <v>137</v>
      </c>
      <c r="C56" s="23">
        <v>46</v>
      </c>
    </row>
    <row r="58" spans="2:3">
      <c r="B58" s="22" t="s">
        <v>123</v>
      </c>
      <c r="C58" s="23">
        <v>354</v>
      </c>
    </row>
    <row r="60" spans="2:3">
      <c r="B60" s="22" t="s">
        <v>298</v>
      </c>
      <c r="C60" s="23">
        <v>252.5</v>
      </c>
    </row>
    <row r="61" spans="2:3">
      <c r="B61" s="22" t="s">
        <v>164</v>
      </c>
      <c r="C61" s="109">
        <f>VLOOKUP("Strip-#x#x Wd x Tk", Design!3:202, 6, 0)</f>
        <v>0.85</v>
      </c>
    </row>
    <row r="62" spans="2:3">
      <c r="B62" s="22" t="s">
        <v>256</v>
      </c>
      <c r="C62" s="109">
        <f>VLOOKUP("Strip-#x#x Wd x Tk", Design!4:203, 4, 0)</f>
        <v>1</v>
      </c>
    </row>
    <row r="63" spans="2:3">
      <c r="B63" s="22" t="s">
        <v>300</v>
      </c>
      <c r="C63" s="109">
        <f>VLOOKUP("Cond/Lead Weight..", Design!5:204, 3, 0)</f>
        <v>183.46</v>
      </c>
    </row>
    <row r="64" spans="2:3">
      <c r="B64" s="22" t="s">
        <v>299</v>
      </c>
      <c r="C64" s="109">
        <f>VLOOKUP("Lay/Trn/Duc Wts...", Design!6:205, 3, 0)</f>
        <v>5.72</v>
      </c>
    </row>
    <row r="65" spans="2:4">
      <c r="B65" s="22" t="s">
        <v>165</v>
      </c>
      <c r="C65" s="109">
        <f>VLOOKUP("Resistance (Coil).", Design!7:206, 3, 0)</f>
        <v>1.1039999999999999E-3</v>
      </c>
    </row>
    <row r="66" spans="2:4">
      <c r="B66" s="22" t="s">
        <v>166</v>
      </c>
      <c r="C66" s="109">
        <f>VLOOKUP("TURNS PER COIL....", Design!8:207, 4, 0)</f>
        <v>24</v>
      </c>
    </row>
    <row r="68" spans="2:4">
      <c r="B68" s="22" t="s">
        <v>223</v>
      </c>
      <c r="C68" s="109">
        <f>VLOOKUP("Cond-Dim Per Turn.", Design!8:207, 5, 0)</f>
        <v>3.05</v>
      </c>
    </row>
    <row r="69" spans="2:4">
      <c r="B69" s="22" t="s">
        <v>224</v>
      </c>
      <c r="C69" s="109">
        <f>VLOOKUP("Cond-Dim Per Turn.", Design!9:208, 4, 0)</f>
        <v>2</v>
      </c>
    </row>
    <row r="70" spans="2:4">
      <c r="B70" s="22" t="s">
        <v>210</v>
      </c>
      <c r="C70" s="109">
        <f>VLOOKUP("HV Conductor Wt...", Design!10:209, 3, 0)</f>
        <v>284.37</v>
      </c>
    </row>
    <row r="71" spans="2:4">
      <c r="B71" s="22" t="s">
        <v>211</v>
      </c>
      <c r="C71" s="109" cm="1">
        <f t="array" ref="C71">INDEX(Design!C:C, SMALL(IF(Design!A:A="Lay/Trn/Duc Wts...", ROW(Design!A:A)-MIN(ROW(Design!A:A))+1, ""), 2))</f>
        <v>4.58</v>
      </c>
    </row>
    <row r="72" spans="2:4">
      <c r="B72" s="22" t="s">
        <v>269</v>
      </c>
      <c r="C72" s="109" cm="1">
        <f t="array" ref="C72">INDEX(Design!C:C, SMALL(IF(Design!A:A="Resistance (Coil).", ROW(Design!A:A)-MIN(ROW(Design!A:A))+1, ""), 2))</f>
        <v>0.99619999999999997</v>
      </c>
      <c r="D72" s="51"/>
    </row>
    <row r="73" spans="2:4">
      <c r="B73" s="22" t="s">
        <v>213</v>
      </c>
      <c r="C73" s="109">
        <f>VLOOKUP("# Lay", Design!$1:$200, 7, 0)</f>
        <v>64</v>
      </c>
    </row>
    <row r="74" spans="2:4">
      <c r="B74" s="22" t="s">
        <v>214</v>
      </c>
      <c r="C74" s="109">
        <f>VLOOKUP("# Lay", Design!$1:$200, 8, 0)</f>
        <v>54</v>
      </c>
    </row>
    <row r="75" spans="2:4">
      <c r="B75" s="22" t="s">
        <v>212</v>
      </c>
      <c r="C75" s="109">
        <f>VLOOKUP("# Lay", Design!$1:$200, 6, 0)</f>
        <v>11</v>
      </c>
    </row>
    <row r="76" spans="2:4">
      <c r="B76" s="22" t="s">
        <v>215</v>
      </c>
      <c r="C76" s="109">
        <f>VLOOKUP("Turns Tot./Nominal", Design!$1:$200, 3, 0)</f>
        <v>694</v>
      </c>
    </row>
    <row r="77" spans="2:4">
      <c r="B77" s="22" t="s">
        <v>342</v>
      </c>
      <c r="C77" s="109">
        <f>VLOOKUP("Turns Tot./Nominal", Design!$1:$200, 4, 0)</f>
        <v>661</v>
      </c>
    </row>
    <row r="78" spans="2:4">
      <c r="B78" s="22" t="s">
        <v>216</v>
      </c>
      <c r="C78" s="109">
        <f>VLOOKUP("Layer/Turn Ins Bd.", Design!$1:$200, 3, 0)</f>
        <v>0.25</v>
      </c>
    </row>
    <row r="79" spans="2:4">
      <c r="B79" s="22" t="s">
        <v>217</v>
      </c>
      <c r="C79" s="109">
        <f>VLOOKUP("Layer/Turn Ins Bd.", Design!$1:$200, 4, 0)</f>
        <v>9.7000000000000003E-2</v>
      </c>
    </row>
    <row r="80" spans="2:4">
      <c r="B80" s="22" t="s">
        <v>218</v>
      </c>
      <c r="C80" s="109">
        <f>VLOOKUP("Average LayIns Tk.", Design!$1:$200, 3, 0)</f>
        <v>0.25</v>
      </c>
    </row>
    <row r="81" spans="2:4">
      <c r="B81" s="22" t="s">
        <v>263</v>
      </c>
      <c r="C81" s="23" t="s">
        <v>262</v>
      </c>
    </row>
    <row r="82" spans="2:4">
      <c r="B82" s="70" t="s">
        <v>265</v>
      </c>
    </row>
    <row r="83" spans="2:4">
      <c r="B83" s="70" t="s">
        <v>268</v>
      </c>
    </row>
    <row r="84" spans="2:4" ht="15">
      <c r="B84" s="69" t="s">
        <v>266</v>
      </c>
      <c r="C84" s="20">
        <v>0.15</v>
      </c>
    </row>
    <row r="85" spans="2:4" ht="15">
      <c r="B85" s="69" t="s">
        <v>267</v>
      </c>
      <c r="C85" s="20">
        <v>1.425</v>
      </c>
    </row>
    <row r="86" spans="2:4">
      <c r="B86" s="22" t="s">
        <v>259</v>
      </c>
      <c r="C86" s="138">
        <f>VLOOKUP("Max No Load/Load..", Design!$1:$200, 3, 0)</f>
        <v>475</v>
      </c>
    </row>
    <row r="87" spans="2:4">
      <c r="B87" s="22" t="s">
        <v>260</v>
      </c>
      <c r="C87" s="138">
        <f>VLOOKUP("INDUCTION.........", Design!$1:$200, 3, 0)</f>
        <v>1.43</v>
      </c>
    </row>
    <row r="89" spans="2:4" ht="15">
      <c r="B89" s="85" t="s">
        <v>314</v>
      </c>
      <c r="C89" s="20" t="s">
        <v>331</v>
      </c>
    </row>
    <row r="90" spans="2:4" ht="15">
      <c r="B90" s="85" t="s">
        <v>316</v>
      </c>
      <c r="C90" s="139">
        <f>VLOOKUP("HV", Design!$1:$200, 5, 0)</f>
        <v>2</v>
      </c>
    </row>
    <row r="91" spans="2:4" ht="15">
      <c r="B91" s="85" t="s">
        <v>317</v>
      </c>
      <c r="C91" s="139">
        <f>VLOOKUP("HV", Design!$1:$200, 6, 0)</f>
        <v>2</v>
      </c>
    </row>
    <row r="92" spans="2:4" ht="15">
      <c r="B92" s="85" t="s">
        <v>320</v>
      </c>
      <c r="C92" s="139">
        <f>VLOOKUP("HV", Design!$1:$200, 7, 0)</f>
        <v>2.5</v>
      </c>
      <c r="D92" s="38" t="s">
        <v>321</v>
      </c>
    </row>
  </sheetData>
  <dataConsolidate/>
  <mergeCells count="8">
    <mergeCell ref="O13:P13"/>
    <mergeCell ref="B8:C8"/>
    <mergeCell ref="B11:C11"/>
    <mergeCell ref="B23:C23"/>
    <mergeCell ref="B46:C46"/>
    <mergeCell ref="B37:C37"/>
    <mergeCell ref="B40:C40"/>
    <mergeCell ref="B28:C28"/>
  </mergeCells>
  <dataValidations count="3">
    <dataValidation type="list" allowBlank="1" showInputMessage="1" showErrorMessage="1" sqref="C44:C45" xr:uid="{88AB1830-B922-4BB4-87CB-A20D3C7EAC52}">
      <formula1>$F$6:$F$9</formula1>
    </dataValidation>
    <dataValidation type="list" allowBlank="1" showInputMessage="1" showErrorMessage="1" sqref="C81:C83" xr:uid="{4938E47B-E6A6-4A8F-9C57-FA9DFCA8AFD8}">
      <formula1>$G$6:$G$7</formula1>
    </dataValidation>
    <dataValidation type="list" allowBlank="1" showInputMessage="1" showErrorMessage="1" sqref="C90:C92" xr:uid="{AF377966-2933-41F3-9346-92AD52E30F06}">
      <formula1>NO_TAP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2D4911-1053-49D2-97BD-837F79977FA7}">
          <x14:formula1>
            <xm:f>Ratio!$B$19:$B$34</xm:f>
          </x14:formula1>
          <xm:sqref>C89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AA58"/>
  <sheetViews>
    <sheetView zoomScaleNormal="100" workbookViewId="0">
      <selection activeCell="K33" sqref="K33"/>
    </sheetView>
  </sheetViews>
  <sheetFormatPr baseColWidth="10" defaultColWidth="8.83203125" defaultRowHeight="15"/>
  <cols>
    <col min="1" max="1" width="4.6640625" customWidth="1"/>
    <col min="2" max="4" width="5.1640625" customWidth="1"/>
    <col min="5" max="5" width="4.5" customWidth="1"/>
    <col min="6" max="6" width="9" customWidth="1"/>
    <col min="13" max="19" width="5.1640625" customWidth="1"/>
    <col min="20" max="20" width="9" customWidth="1"/>
  </cols>
  <sheetData>
    <row r="3" spans="2:25" ht="18.75" customHeight="1">
      <c r="B3" s="114" t="s">
        <v>5</v>
      </c>
      <c r="C3" s="114"/>
      <c r="D3" s="114"/>
      <c r="E3" s="114"/>
      <c r="F3" s="114"/>
      <c r="G3" s="1"/>
      <c r="H3" s="1"/>
      <c r="I3" s="1"/>
      <c r="J3" s="1"/>
      <c r="K3" s="1"/>
      <c r="L3" s="1"/>
      <c r="M3" s="116" t="s">
        <v>8</v>
      </c>
      <c r="N3" s="116"/>
      <c r="O3" s="116"/>
      <c r="P3" s="116"/>
      <c r="Q3" s="116"/>
      <c r="R3" s="116"/>
      <c r="S3" s="116"/>
      <c r="T3" s="116"/>
      <c r="U3" s="1"/>
      <c r="V3" s="1"/>
      <c r="W3" s="1"/>
      <c r="X3" s="1"/>
      <c r="Y3" s="1"/>
    </row>
    <row r="4" spans="2:25">
      <c r="B4" s="115"/>
      <c r="C4" s="115"/>
      <c r="D4" s="115"/>
      <c r="E4" s="115"/>
      <c r="F4" s="115"/>
      <c r="G4" s="1"/>
      <c r="H4" s="1"/>
      <c r="I4" s="1"/>
      <c r="J4" s="1"/>
      <c r="K4" s="1"/>
      <c r="L4" s="1"/>
      <c r="M4" s="117"/>
      <c r="N4" s="117"/>
      <c r="O4" s="117"/>
      <c r="P4" s="117"/>
      <c r="Q4" s="117"/>
      <c r="R4" s="117"/>
      <c r="S4" s="117"/>
      <c r="T4" s="117"/>
      <c r="U4" s="1"/>
      <c r="V4" s="1"/>
      <c r="W4" s="1"/>
      <c r="X4" s="1"/>
      <c r="Y4" s="1"/>
    </row>
    <row r="5" spans="2:25">
      <c r="B5" s="115"/>
      <c r="C5" s="115"/>
      <c r="D5" s="115"/>
      <c r="E5" s="115"/>
      <c r="F5" s="115"/>
      <c r="G5" s="1"/>
      <c r="H5" s="1"/>
      <c r="I5" s="1"/>
      <c r="J5" s="1"/>
      <c r="K5" s="1"/>
      <c r="L5" s="1"/>
      <c r="M5" s="117"/>
      <c r="N5" s="117"/>
      <c r="O5" s="117"/>
      <c r="P5" s="117"/>
      <c r="Q5" s="117"/>
      <c r="R5" s="117"/>
      <c r="S5" s="117"/>
      <c r="T5" s="117"/>
      <c r="U5" s="1"/>
      <c r="V5" s="1"/>
      <c r="W5" s="1"/>
      <c r="X5" s="1"/>
      <c r="Y5" s="1"/>
    </row>
    <row r="6" spans="2:25">
      <c r="B6" s="115"/>
      <c r="C6" s="115"/>
      <c r="D6" s="115"/>
      <c r="E6" s="115"/>
      <c r="F6" s="115"/>
      <c r="G6" s="1"/>
      <c r="H6" s="1"/>
      <c r="I6" s="1"/>
      <c r="J6" s="1"/>
      <c r="K6" s="1"/>
      <c r="L6" s="1"/>
      <c r="M6" s="117"/>
      <c r="N6" s="117"/>
      <c r="O6" s="117"/>
      <c r="P6" s="117"/>
      <c r="Q6" s="117"/>
      <c r="R6" s="117"/>
      <c r="S6" s="117"/>
      <c r="T6" s="117"/>
      <c r="U6" s="1"/>
      <c r="V6" s="1"/>
      <c r="W6" s="1"/>
      <c r="X6" s="1"/>
      <c r="Y6" s="1"/>
    </row>
    <row r="7" spans="2:25">
      <c r="B7" s="115"/>
      <c r="C7" s="115"/>
      <c r="D7" s="115"/>
      <c r="E7" s="115"/>
      <c r="F7" s="115"/>
      <c r="G7" s="1"/>
      <c r="H7" s="1"/>
      <c r="I7" s="1"/>
      <c r="J7" s="1"/>
      <c r="K7" s="1"/>
      <c r="L7" s="1"/>
      <c r="M7" s="117"/>
      <c r="N7" s="117"/>
      <c r="O7" s="117"/>
      <c r="P7" s="117"/>
      <c r="Q7" s="117"/>
      <c r="R7" s="117"/>
      <c r="S7" s="117"/>
      <c r="T7" s="117"/>
      <c r="U7" s="1"/>
      <c r="V7" s="1"/>
      <c r="W7" s="1"/>
      <c r="X7" s="1"/>
      <c r="Y7" s="1"/>
    </row>
    <row r="8" spans="2:25">
      <c r="B8" s="115"/>
      <c r="C8" s="115"/>
      <c r="D8" s="115"/>
      <c r="E8" s="115"/>
      <c r="F8" s="115"/>
      <c r="G8" s="1"/>
      <c r="H8" s="1"/>
      <c r="I8" s="1"/>
      <c r="J8" s="1"/>
      <c r="K8" s="1"/>
      <c r="L8" s="1"/>
      <c r="M8" s="117"/>
      <c r="N8" s="117"/>
      <c r="O8" s="117"/>
      <c r="P8" s="117"/>
      <c r="Q8" s="117"/>
      <c r="R8" s="117"/>
      <c r="S8" s="117"/>
      <c r="T8" s="117"/>
      <c r="U8" s="1"/>
      <c r="V8" s="1"/>
      <c r="W8" s="1"/>
      <c r="X8" s="1"/>
      <c r="Y8" s="1"/>
    </row>
    <row r="9" spans="2:25">
      <c r="B9" s="115"/>
      <c r="C9" s="115"/>
      <c r="D9" s="115"/>
      <c r="E9" s="115"/>
      <c r="F9" s="115"/>
      <c r="G9" s="1"/>
      <c r="H9" s="1"/>
      <c r="I9" s="1"/>
      <c r="J9" s="1"/>
      <c r="K9" s="1"/>
      <c r="L9" s="1"/>
      <c r="M9" s="117"/>
      <c r="N9" s="117"/>
      <c r="O9" s="117"/>
      <c r="P9" s="117"/>
      <c r="Q9" s="117"/>
      <c r="R9" s="117"/>
      <c r="S9" s="117"/>
      <c r="T9" s="117"/>
      <c r="U9" s="1"/>
      <c r="V9" s="1"/>
      <c r="W9" s="1"/>
      <c r="X9" s="1"/>
      <c r="Y9" s="1"/>
    </row>
    <row r="10" spans="2:25">
      <c r="B10" s="115"/>
      <c r="C10" s="115"/>
      <c r="D10" s="115"/>
      <c r="E10" s="115"/>
      <c r="F10" s="115"/>
      <c r="G10" s="1"/>
      <c r="H10" s="1"/>
      <c r="I10" s="1"/>
      <c r="J10" s="1"/>
      <c r="K10" s="1"/>
      <c r="M10" s="117"/>
      <c r="N10" s="117"/>
      <c r="O10" s="117"/>
      <c r="P10" s="117"/>
      <c r="Q10" s="117"/>
      <c r="R10" s="117"/>
      <c r="S10" s="117"/>
      <c r="T10" s="117"/>
      <c r="U10" s="1"/>
      <c r="V10" s="1"/>
      <c r="W10" s="1"/>
      <c r="X10" s="1"/>
      <c r="Y10" s="1"/>
    </row>
    <row r="11" spans="2:25">
      <c r="B11" s="115"/>
      <c r="C11" s="115"/>
      <c r="D11" s="115"/>
      <c r="E11" s="115"/>
      <c r="F11" s="115"/>
      <c r="G11" s="1"/>
      <c r="H11" s="1"/>
      <c r="I11" s="1"/>
      <c r="J11" s="1"/>
      <c r="K11" s="1"/>
      <c r="L11" s="1"/>
      <c r="M11" s="117"/>
      <c r="N11" s="117"/>
      <c r="O11" s="117"/>
      <c r="P11" s="117"/>
      <c r="Q11" s="117"/>
      <c r="R11" s="117"/>
      <c r="S11" s="117"/>
      <c r="T11" s="117"/>
      <c r="U11" s="1"/>
      <c r="V11" s="1"/>
      <c r="W11" s="1"/>
      <c r="X11" s="1"/>
      <c r="Y11" s="1"/>
    </row>
    <row r="12" spans="2:25">
      <c r="B12" s="115"/>
      <c r="C12" s="115"/>
      <c r="D12" s="115"/>
      <c r="E12" s="115"/>
      <c r="F12" s="115"/>
      <c r="G12" s="1"/>
      <c r="H12" s="1"/>
      <c r="I12" s="1"/>
      <c r="J12" s="1"/>
      <c r="K12" s="1"/>
      <c r="L12" s="1"/>
      <c r="M12" s="117"/>
      <c r="N12" s="117"/>
      <c r="O12" s="117"/>
      <c r="P12" s="117"/>
      <c r="Q12" s="117"/>
      <c r="R12" s="117"/>
      <c r="S12" s="117"/>
      <c r="T12" s="117"/>
      <c r="U12" s="1"/>
      <c r="V12" s="1"/>
      <c r="W12" s="1"/>
      <c r="X12" s="1"/>
      <c r="Y12" s="1"/>
    </row>
    <row r="13" spans="2:25">
      <c r="B13" s="2" t="s">
        <v>0</v>
      </c>
      <c r="C13" s="2" t="s">
        <v>1</v>
      </c>
      <c r="D13" s="2" t="s">
        <v>2</v>
      </c>
      <c r="E13" s="2" t="s">
        <v>3</v>
      </c>
      <c r="F13" s="6" t="s">
        <v>4</v>
      </c>
      <c r="G13" s="1"/>
      <c r="H13" s="1"/>
      <c r="I13" s="1"/>
      <c r="J13" s="1"/>
      <c r="K13" s="1"/>
      <c r="L13" s="1"/>
      <c r="M13" s="6" t="s">
        <v>0</v>
      </c>
      <c r="N13" s="6" t="s">
        <v>1</v>
      </c>
      <c r="O13" s="6" t="s">
        <v>2</v>
      </c>
      <c r="P13" s="6" t="s">
        <v>9</v>
      </c>
      <c r="Q13" s="6" t="s">
        <v>10</v>
      </c>
      <c r="R13" s="6" t="s">
        <v>11</v>
      </c>
      <c r="S13" s="6" t="s">
        <v>3</v>
      </c>
      <c r="T13" s="6" t="s">
        <v>4</v>
      </c>
      <c r="U13" s="1"/>
      <c r="V13" s="1"/>
      <c r="W13" s="1"/>
      <c r="X13" s="1"/>
      <c r="Y13" s="1"/>
    </row>
    <row r="14" spans="2:25">
      <c r="B14" s="18">
        <f>PI()*(DATA!C12+DATA!C27*2)+DATA!C13*2+25</f>
        <v>741.07960253513625</v>
      </c>
      <c r="C14" s="2">
        <f>DATA!C47-2</f>
        <v>463</v>
      </c>
      <c r="D14" s="2" t="str">
        <f>IF(DATA!C27&lt;=2,"1","2")</f>
        <v>1</v>
      </c>
      <c r="E14" s="2">
        <v>3</v>
      </c>
      <c r="F14" s="6" t="s">
        <v>94</v>
      </c>
      <c r="G14" s="1"/>
      <c r="H14" s="1"/>
      <c r="I14" s="1"/>
      <c r="J14" s="1"/>
      <c r="K14" s="1"/>
      <c r="L14" s="1"/>
      <c r="M14" s="7">
        <f>(PI()*(DATA!P12*DATA!P17*2+DATA!C12+DATA!C27*2)+DATA!C13*2+40)*DATA!P19</f>
        <v>812.74702250205826</v>
      </c>
      <c r="N14" s="6">
        <f>DATA!C47-2</f>
        <v>463</v>
      </c>
      <c r="O14" s="7">
        <v>0.25</v>
      </c>
      <c r="P14" s="7">
        <v>19</v>
      </c>
      <c r="Q14" s="7">
        <v>4.25</v>
      </c>
      <c r="R14" s="7">
        <v>6</v>
      </c>
      <c r="S14" s="7" t="str">
        <f>IF(DATA!C35=1,"1",IF(DATA!C35=0.33,"1",IF(DATA!C35=0.67,"2","0")))</f>
        <v>1</v>
      </c>
      <c r="T14" s="7" t="s">
        <v>94</v>
      </c>
      <c r="U14" s="1"/>
      <c r="V14" s="1"/>
      <c r="W14" s="1"/>
      <c r="X14" s="1"/>
      <c r="Y14" s="1"/>
    </row>
    <row r="15" spans="2:25">
      <c r="F15" s="5"/>
      <c r="G15" s="1"/>
      <c r="H15" s="1"/>
      <c r="I15" s="1"/>
      <c r="J15" s="1"/>
      <c r="K15" s="1"/>
      <c r="L15" s="1"/>
      <c r="M15" s="6">
        <f>IF(DATA!C36&gt;0,(PI()*(DATA!P12*DATA!P18*2+DATA!C12+DATA!C27*2)+DATA!C13*2+40)*DATA!P20,0)</f>
        <v>287.47344021443269</v>
      </c>
      <c r="N15" s="6">
        <f>IF(M15&gt;0,DATA!C47-2,0)</f>
        <v>463</v>
      </c>
      <c r="O15" s="6">
        <f>IF(M15&gt;0,0.25,0)</f>
        <v>0.25</v>
      </c>
      <c r="P15" s="6">
        <f>IF(M15&gt;0,19,0)</f>
        <v>19</v>
      </c>
      <c r="Q15" s="6">
        <f>IF(M15&gt;0,4.25,0)</f>
        <v>4.25</v>
      </c>
      <c r="R15" s="6">
        <f>IF(M15&gt;0,6,0)</f>
        <v>6</v>
      </c>
      <c r="S15" s="6" t="str">
        <f>IF(DATA!C36=1,"1",IF(DATA!C36=0.33,"1",IF(DATA!C36=0.67,"2",0)))</f>
        <v>1</v>
      </c>
      <c r="T15" s="6" t="str">
        <f>IF(M15&gt;0, T14,0)</f>
        <v>PB</v>
      </c>
      <c r="U15" s="1"/>
      <c r="V15" s="1"/>
      <c r="W15" s="1"/>
      <c r="X15" s="1"/>
      <c r="Y15" s="1"/>
    </row>
    <row r="16" spans="2:25"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7"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7" ht="16">
      <c r="B18" s="114" t="s">
        <v>6</v>
      </c>
      <c r="C18" s="114"/>
      <c r="D18" s="114"/>
      <c r="E18" s="114"/>
      <c r="F18" s="114"/>
      <c r="G18" s="1"/>
      <c r="H18" s="1"/>
      <c r="I18" s="1"/>
      <c r="J18" s="1"/>
      <c r="K18" s="1"/>
      <c r="L18" s="1"/>
      <c r="O18" s="42"/>
      <c r="R18" s="1"/>
      <c r="S18" s="1"/>
      <c r="T18" s="1"/>
      <c r="U18" s="1"/>
      <c r="V18" s="1"/>
      <c r="W18" s="1"/>
      <c r="X18" s="1"/>
      <c r="Y18" s="1"/>
    </row>
    <row r="19" spans="2:27">
      <c r="B19" s="115"/>
      <c r="C19" s="115"/>
      <c r="D19" s="115"/>
      <c r="E19" s="115"/>
      <c r="F19" s="115"/>
      <c r="G19" s="1"/>
      <c r="H19" s="1"/>
      <c r="I19" s="1"/>
      <c r="J19" s="1"/>
      <c r="K19" s="1"/>
      <c r="L19" s="1"/>
      <c r="O19" s="42"/>
      <c r="R19" s="1"/>
      <c r="S19" s="1"/>
      <c r="T19" s="1"/>
      <c r="U19" s="1"/>
      <c r="V19" s="1"/>
      <c r="W19" s="1"/>
      <c r="X19" s="1"/>
      <c r="Y19" s="1"/>
    </row>
    <row r="20" spans="2:27">
      <c r="B20" s="115"/>
      <c r="C20" s="115"/>
      <c r="D20" s="115"/>
      <c r="E20" s="115"/>
      <c r="F20" s="115"/>
      <c r="G20" s="1"/>
      <c r="H20" s="1"/>
      <c r="I20" s="1"/>
      <c r="J20" s="1"/>
      <c r="K20" s="1"/>
      <c r="L20" s="1"/>
      <c r="R20" s="1"/>
      <c r="S20" s="1"/>
      <c r="T20" s="1"/>
      <c r="U20" s="1"/>
      <c r="V20" s="1"/>
      <c r="W20" t="s">
        <v>141</v>
      </c>
      <c r="Y20" s="27" t="s">
        <v>155</v>
      </c>
      <c r="Z20" s="28"/>
      <c r="AA20">
        <f>DATA!C60</f>
        <v>252.5</v>
      </c>
    </row>
    <row r="21" spans="2:27">
      <c r="B21" s="115"/>
      <c r="C21" s="115"/>
      <c r="D21" s="115"/>
      <c r="E21" s="115"/>
      <c r="F21" s="115"/>
      <c r="G21" s="1"/>
      <c r="H21" s="1"/>
      <c r="I21" s="1"/>
      <c r="J21" s="1"/>
      <c r="K21" s="1"/>
      <c r="L21" s="1"/>
      <c r="R21" s="1"/>
      <c r="S21" s="1"/>
      <c r="T21" s="1"/>
      <c r="U21" s="1"/>
      <c r="V21" s="1"/>
      <c r="Y21" s="27" t="s">
        <v>142</v>
      </c>
      <c r="Z21" s="28"/>
      <c r="AA21">
        <f>DATA!C32</f>
        <v>30.33</v>
      </c>
    </row>
    <row r="22" spans="2:27">
      <c r="B22" s="115"/>
      <c r="C22" s="115"/>
      <c r="D22" s="115"/>
      <c r="E22" s="115"/>
      <c r="F22" s="115"/>
      <c r="G22" s="1"/>
      <c r="H22" s="1"/>
      <c r="I22" s="1"/>
      <c r="J22" s="1"/>
      <c r="K22" s="1"/>
      <c r="L22" s="1"/>
      <c r="O22" s="28"/>
      <c r="P22" s="28"/>
      <c r="Q22" s="28"/>
      <c r="R22" s="1"/>
      <c r="S22" s="1"/>
      <c r="T22" s="1"/>
      <c r="U22" s="1"/>
      <c r="V22" s="1"/>
      <c r="Y22" s="27" t="s">
        <v>142</v>
      </c>
      <c r="Z22" s="28"/>
      <c r="AA22">
        <f>DATA!C32</f>
        <v>30.33</v>
      </c>
    </row>
    <row r="23" spans="2:27">
      <c r="B23" s="115"/>
      <c r="C23" s="115"/>
      <c r="D23" s="115"/>
      <c r="E23" s="115"/>
      <c r="F23" s="115"/>
      <c r="O23" s="28"/>
      <c r="T23" s="1"/>
      <c r="Y23" s="27" t="s">
        <v>140</v>
      </c>
      <c r="Z23" s="28"/>
      <c r="AA23">
        <f>D14*3</f>
        <v>3</v>
      </c>
    </row>
    <row r="24" spans="2:27">
      <c r="B24" s="115"/>
      <c r="C24" s="115"/>
      <c r="D24" s="115"/>
      <c r="E24" s="115"/>
      <c r="F24" s="115"/>
      <c r="O24" s="28"/>
      <c r="T24" s="1"/>
      <c r="Y24" s="27" t="s">
        <v>144</v>
      </c>
      <c r="Z24" s="28"/>
      <c r="AA24">
        <f>DATA!C30*2</f>
        <v>12</v>
      </c>
    </row>
    <row r="25" spans="2:27">
      <c r="B25" s="115"/>
      <c r="C25" s="115"/>
      <c r="D25" s="115"/>
      <c r="E25" s="115"/>
      <c r="F25" s="115"/>
      <c r="T25" s="1"/>
      <c r="Y25" s="27" t="s">
        <v>145</v>
      </c>
      <c r="Z25" s="28"/>
      <c r="AA25" s="29">
        <v>1</v>
      </c>
    </row>
    <row r="26" spans="2:27">
      <c r="B26" s="115"/>
      <c r="C26" s="115"/>
      <c r="D26" s="115"/>
      <c r="E26" s="115"/>
      <c r="F26" s="115"/>
      <c r="T26" s="1"/>
      <c r="Y26" s="27">
        <v>0.15</v>
      </c>
      <c r="Z26" s="28"/>
      <c r="AA26" s="29"/>
    </row>
    <row r="27" spans="2:27">
      <c r="B27" s="115"/>
      <c r="C27" s="115"/>
      <c r="D27" s="115"/>
      <c r="E27" s="115"/>
      <c r="F27" s="115"/>
      <c r="T27" s="26"/>
      <c r="Y27" s="27" t="s">
        <v>146</v>
      </c>
      <c r="Z27" s="28"/>
      <c r="AA27" s="29">
        <v>1</v>
      </c>
    </row>
    <row r="28" spans="2:27">
      <c r="B28" s="2" t="s">
        <v>0</v>
      </c>
      <c r="C28" s="2" t="s">
        <v>1</v>
      </c>
      <c r="D28" s="2" t="s">
        <v>2</v>
      </c>
      <c r="E28" s="2" t="s">
        <v>3</v>
      </c>
      <c r="F28" s="6" t="s">
        <v>4</v>
      </c>
      <c r="T28" s="1"/>
      <c r="Y28" s="27">
        <v>0.15</v>
      </c>
      <c r="Z28" s="28"/>
      <c r="AA28" s="29"/>
    </row>
    <row r="29" spans="2:27">
      <c r="B29" s="2">
        <f>DATA!C47-2</f>
        <v>463</v>
      </c>
      <c r="C29" s="2">
        <f>DATA!C29+15</f>
        <v>65</v>
      </c>
      <c r="D29" s="2" t="str">
        <f>IF(DATA!C5&gt;1000,"2","1")</f>
        <v>1</v>
      </c>
      <c r="E29" s="2">
        <v>3</v>
      </c>
      <c r="F29" s="6" t="s">
        <v>94</v>
      </c>
      <c r="Y29" s="27" t="s">
        <v>147</v>
      </c>
      <c r="Z29" s="28"/>
      <c r="AA29" s="29"/>
    </row>
    <row r="30" spans="2:27">
      <c r="Y30" s="27"/>
      <c r="Z30" s="28"/>
      <c r="AA30" s="30"/>
    </row>
    <row r="31" spans="2:27">
      <c r="Y31" s="27"/>
      <c r="Z31" s="28"/>
      <c r="AA31" s="67">
        <f>SUM(AA20:AA30)</f>
        <v>330.15999999999997</v>
      </c>
    </row>
    <row r="33" spans="2:6" ht="16">
      <c r="B33" s="114" t="s">
        <v>7</v>
      </c>
      <c r="C33" s="114"/>
      <c r="D33" s="114"/>
      <c r="E33" s="114"/>
      <c r="F33" s="114"/>
    </row>
    <row r="34" spans="2:6">
      <c r="B34" s="115"/>
      <c r="C34" s="115"/>
      <c r="D34" s="115"/>
      <c r="E34" s="115"/>
      <c r="F34" s="115"/>
    </row>
    <row r="35" spans="2:6">
      <c r="B35" s="115"/>
      <c r="C35" s="115"/>
      <c r="D35" s="115"/>
      <c r="E35" s="115"/>
      <c r="F35" s="115"/>
    </row>
    <row r="36" spans="2:6">
      <c r="B36" s="115"/>
      <c r="C36" s="115"/>
      <c r="D36" s="115"/>
      <c r="E36" s="115"/>
      <c r="F36" s="115"/>
    </row>
    <row r="37" spans="2:6">
      <c r="B37" s="115"/>
      <c r="C37" s="115"/>
      <c r="D37" s="115"/>
      <c r="E37" s="115"/>
      <c r="F37" s="115"/>
    </row>
    <row r="38" spans="2:6">
      <c r="B38" s="115"/>
      <c r="C38" s="115"/>
      <c r="D38" s="115"/>
      <c r="E38" s="115"/>
      <c r="F38" s="115"/>
    </row>
    <row r="39" spans="2:6">
      <c r="B39" s="115"/>
      <c r="C39" s="115"/>
      <c r="D39" s="115"/>
      <c r="E39" s="115"/>
      <c r="F39" s="115"/>
    </row>
    <row r="40" spans="2:6">
      <c r="B40" s="115"/>
      <c r="C40" s="115"/>
      <c r="D40" s="115"/>
      <c r="E40" s="115"/>
      <c r="F40" s="115"/>
    </row>
    <row r="41" spans="2:6">
      <c r="B41" s="115"/>
      <c r="C41" s="115"/>
      <c r="D41" s="115"/>
      <c r="E41" s="115"/>
      <c r="F41" s="115"/>
    </row>
    <row r="42" spans="2:6">
      <c r="B42" s="115"/>
      <c r="C42" s="115"/>
      <c r="D42" s="115"/>
      <c r="E42" s="115"/>
      <c r="F42" s="115"/>
    </row>
    <row r="43" spans="2:6">
      <c r="B43" s="2" t="s">
        <v>0</v>
      </c>
      <c r="C43" s="2" t="s">
        <v>1</v>
      </c>
      <c r="D43" s="2" t="s">
        <v>2</v>
      </c>
      <c r="E43" s="2" t="s">
        <v>3</v>
      </c>
      <c r="F43" s="6" t="s">
        <v>4</v>
      </c>
    </row>
    <row r="44" spans="2:6">
      <c r="B44" s="2">
        <f>DATA!C47+DATA!C29*2</f>
        <v>565</v>
      </c>
      <c r="C44" s="2">
        <f>DATA!C29+20</f>
        <v>70</v>
      </c>
      <c r="D44" s="2">
        <v>1</v>
      </c>
      <c r="E44" s="2">
        <v>3</v>
      </c>
      <c r="F44" s="6" t="s">
        <v>94</v>
      </c>
    </row>
    <row r="47" spans="2:6" ht="16">
      <c r="B47" s="4"/>
      <c r="C47" s="4"/>
      <c r="D47" s="4"/>
      <c r="E47" s="4"/>
      <c r="F47" s="4"/>
    </row>
    <row r="57" spans="2:6">
      <c r="B57" s="3"/>
      <c r="C57" s="3"/>
      <c r="D57" s="3"/>
      <c r="E57" s="3"/>
      <c r="F57" s="5"/>
    </row>
    <row r="58" spans="2:6">
      <c r="B58" s="3"/>
      <c r="C58" s="3"/>
      <c r="D58" s="3"/>
      <c r="E58" s="3"/>
      <c r="F58" s="5"/>
    </row>
  </sheetData>
  <mergeCells count="8">
    <mergeCell ref="B33:F33"/>
    <mergeCell ref="B34:F42"/>
    <mergeCell ref="B3:F3"/>
    <mergeCell ref="M3:T3"/>
    <mergeCell ref="B4:F12"/>
    <mergeCell ref="M4:T12"/>
    <mergeCell ref="B18:F18"/>
    <mergeCell ref="B19:F27"/>
  </mergeCells>
  <pageMargins left="0.7" right="0.7" top="0.75" bottom="0.75" header="0.3" footer="0.3"/>
  <pageSetup paperSize="9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K58"/>
  <sheetViews>
    <sheetView zoomScale="85" zoomScaleNormal="85" workbookViewId="0">
      <selection activeCell="K32" sqref="K32"/>
    </sheetView>
  </sheetViews>
  <sheetFormatPr baseColWidth="10" defaultColWidth="8.83203125" defaultRowHeight="15"/>
  <cols>
    <col min="1" max="1" width="4.6640625" customWidth="1"/>
    <col min="2" max="4" width="5.1640625" customWidth="1"/>
    <col min="5" max="5" width="4.5" customWidth="1"/>
    <col min="6" max="6" width="9" customWidth="1"/>
    <col min="12" max="16" width="5.1640625" customWidth="1"/>
    <col min="17" max="17" width="4.5" customWidth="1"/>
    <col min="18" max="18" width="9" customWidth="1"/>
    <col min="24" max="24" width="7" customWidth="1"/>
    <col min="25" max="25" width="5.1640625" customWidth="1"/>
    <col min="26" max="26" width="8.5" customWidth="1"/>
    <col min="27" max="30" width="5.1640625" customWidth="1"/>
    <col min="31" max="31" width="9" customWidth="1"/>
  </cols>
  <sheetData>
    <row r="2" spans="2:36" ht="18.75" customHeight="1">
      <c r="B2" s="114" t="s">
        <v>16</v>
      </c>
      <c r="C2" s="114"/>
      <c r="D2" s="114"/>
      <c r="E2" s="114"/>
      <c r="F2" s="114"/>
      <c r="G2" s="1"/>
      <c r="H2" s="1"/>
      <c r="I2" s="1"/>
      <c r="J2" s="1"/>
      <c r="K2" s="1"/>
      <c r="L2" s="114" t="s">
        <v>18</v>
      </c>
      <c r="M2" s="114"/>
      <c r="N2" s="114"/>
      <c r="O2" s="114"/>
      <c r="P2" s="114"/>
      <c r="Q2" s="114"/>
      <c r="R2" s="114"/>
      <c r="S2" s="1"/>
      <c r="T2" s="1"/>
      <c r="U2" s="1"/>
      <c r="V2" s="1"/>
      <c r="W2" s="1"/>
      <c r="X2" s="116" t="s">
        <v>8</v>
      </c>
      <c r="Y2" s="116"/>
      <c r="Z2" s="116"/>
      <c r="AA2" s="116"/>
      <c r="AB2" s="116"/>
      <c r="AC2" s="116"/>
      <c r="AD2" s="116"/>
      <c r="AE2" s="116"/>
      <c r="AF2" s="1"/>
      <c r="AG2" s="1"/>
      <c r="AH2" s="1"/>
      <c r="AI2" s="1"/>
      <c r="AJ2" s="1"/>
    </row>
    <row r="3" spans="2:36">
      <c r="B3" s="115"/>
      <c r="C3" s="115"/>
      <c r="D3" s="115"/>
      <c r="E3" s="115"/>
      <c r="F3" s="115"/>
      <c r="G3" s="1"/>
      <c r="H3" s="1"/>
      <c r="I3" s="1"/>
      <c r="J3" s="1"/>
      <c r="K3" s="1"/>
      <c r="L3" s="115"/>
      <c r="M3" s="115"/>
      <c r="N3" s="115"/>
      <c r="O3" s="115"/>
      <c r="P3" s="115"/>
      <c r="Q3" s="115"/>
      <c r="R3" s="115"/>
      <c r="S3" s="1"/>
      <c r="T3" s="1"/>
      <c r="U3" s="1"/>
      <c r="V3" s="1"/>
      <c r="W3" s="1"/>
      <c r="X3" s="117"/>
      <c r="Y3" s="117"/>
      <c r="Z3" s="117"/>
      <c r="AA3" s="117"/>
      <c r="AB3" s="117"/>
      <c r="AC3" s="117"/>
      <c r="AD3" s="117"/>
      <c r="AE3" s="117"/>
      <c r="AF3" s="1"/>
      <c r="AG3" s="1"/>
      <c r="AH3" s="1"/>
      <c r="AI3" s="1"/>
      <c r="AJ3" s="1"/>
    </row>
    <row r="4" spans="2:36">
      <c r="B4" s="115"/>
      <c r="C4" s="115"/>
      <c r="D4" s="115"/>
      <c r="E4" s="115"/>
      <c r="F4" s="115"/>
      <c r="G4" s="1"/>
      <c r="H4" s="1"/>
      <c r="I4" s="1"/>
      <c r="J4" s="1"/>
      <c r="K4" s="1"/>
      <c r="L4" s="115"/>
      <c r="M4" s="115"/>
      <c r="N4" s="115"/>
      <c r="O4" s="115"/>
      <c r="P4" s="115"/>
      <c r="Q4" s="115"/>
      <c r="R4" s="115"/>
      <c r="S4" s="1"/>
      <c r="T4" s="1"/>
      <c r="U4" s="1"/>
      <c r="V4" s="1"/>
      <c r="W4" s="1"/>
      <c r="X4" s="117"/>
      <c r="Y4" s="117"/>
      <c r="Z4" s="117"/>
      <c r="AA4" s="117"/>
      <c r="AB4" s="117"/>
      <c r="AC4" s="117"/>
      <c r="AD4" s="117"/>
      <c r="AE4" s="117"/>
      <c r="AF4" s="1"/>
      <c r="AG4" s="1"/>
      <c r="AH4" s="1"/>
      <c r="AI4" s="1"/>
      <c r="AJ4" s="1"/>
    </row>
    <row r="5" spans="2:36">
      <c r="B5" s="115"/>
      <c r="C5" s="115"/>
      <c r="D5" s="115"/>
      <c r="E5" s="115"/>
      <c r="F5" s="115"/>
      <c r="G5" s="1"/>
      <c r="H5" s="1"/>
      <c r="I5" s="1"/>
      <c r="J5" s="1"/>
      <c r="K5" s="1"/>
      <c r="L5" s="115"/>
      <c r="M5" s="115"/>
      <c r="N5" s="115"/>
      <c r="O5" s="115"/>
      <c r="P5" s="115"/>
      <c r="Q5" s="115"/>
      <c r="R5" s="115"/>
      <c r="S5" s="1"/>
      <c r="T5" s="1"/>
      <c r="U5" s="1"/>
      <c r="V5" s="1"/>
      <c r="W5" s="1"/>
      <c r="X5" s="117"/>
      <c r="Y5" s="117"/>
      <c r="Z5" s="117"/>
      <c r="AA5" s="117"/>
      <c r="AB5" s="117"/>
      <c r="AC5" s="117"/>
      <c r="AD5" s="117"/>
      <c r="AE5" s="117"/>
      <c r="AF5" s="1"/>
      <c r="AG5" s="1"/>
      <c r="AH5" s="1"/>
      <c r="AI5" s="1"/>
      <c r="AJ5" s="1"/>
    </row>
    <row r="6" spans="2:36">
      <c r="B6" s="115"/>
      <c r="C6" s="115"/>
      <c r="D6" s="115"/>
      <c r="E6" s="115"/>
      <c r="F6" s="115"/>
      <c r="G6" s="1"/>
      <c r="H6" s="1"/>
      <c r="I6" s="1"/>
      <c r="J6" s="1"/>
      <c r="K6" s="1"/>
      <c r="L6" s="115"/>
      <c r="M6" s="115"/>
      <c r="N6" s="115"/>
      <c r="O6" s="115"/>
      <c r="P6" s="115"/>
      <c r="Q6" s="115"/>
      <c r="R6" s="115"/>
      <c r="S6" s="1"/>
      <c r="T6" s="1"/>
      <c r="U6" s="1"/>
      <c r="V6" s="1"/>
      <c r="W6" s="1"/>
      <c r="X6" s="117"/>
      <c r="Y6" s="117"/>
      <c r="Z6" s="117"/>
      <c r="AA6" s="117"/>
      <c r="AB6" s="117"/>
      <c r="AC6" s="117"/>
      <c r="AD6" s="117"/>
      <c r="AE6" s="117"/>
      <c r="AF6" s="1"/>
      <c r="AG6" s="1"/>
      <c r="AH6" s="1"/>
      <c r="AI6" s="1"/>
      <c r="AJ6" s="1"/>
    </row>
    <row r="7" spans="2:36">
      <c r="B7" s="115"/>
      <c r="C7" s="115"/>
      <c r="D7" s="115"/>
      <c r="E7" s="115"/>
      <c r="F7" s="115"/>
      <c r="G7" s="1"/>
      <c r="H7" s="1"/>
      <c r="I7" s="1"/>
      <c r="J7" s="1"/>
      <c r="K7" s="1"/>
      <c r="L7" s="115"/>
      <c r="M7" s="115"/>
      <c r="N7" s="115"/>
      <c r="O7" s="115"/>
      <c r="P7" s="115"/>
      <c r="Q7" s="115"/>
      <c r="R7" s="115"/>
      <c r="S7" s="1"/>
      <c r="T7" s="1"/>
      <c r="U7" s="1"/>
      <c r="V7" s="1"/>
      <c r="W7" s="1"/>
      <c r="X7" s="117"/>
      <c r="Y7" s="117"/>
      <c r="Z7" s="117"/>
      <c r="AA7" s="117"/>
      <c r="AB7" s="117"/>
      <c r="AC7" s="117"/>
      <c r="AD7" s="117"/>
      <c r="AE7" s="117"/>
      <c r="AF7" s="1"/>
      <c r="AG7" s="1"/>
      <c r="AH7" s="1"/>
      <c r="AI7" s="1"/>
      <c r="AJ7" s="1"/>
    </row>
    <row r="8" spans="2:36">
      <c r="B8" s="115"/>
      <c r="C8" s="115"/>
      <c r="D8" s="115"/>
      <c r="E8" s="115"/>
      <c r="F8" s="115"/>
      <c r="G8" s="1"/>
      <c r="H8" s="1"/>
      <c r="I8" s="1"/>
      <c r="J8" s="1"/>
      <c r="K8" s="1"/>
      <c r="L8" s="115"/>
      <c r="M8" s="115"/>
      <c r="N8" s="115"/>
      <c r="O8" s="115"/>
      <c r="P8" s="115"/>
      <c r="Q8" s="115"/>
      <c r="R8" s="115"/>
      <c r="S8" s="1"/>
      <c r="T8" s="1"/>
      <c r="U8" s="1"/>
      <c r="V8" s="1"/>
      <c r="W8" s="1"/>
      <c r="X8" s="117"/>
      <c r="Y8" s="117"/>
      <c r="Z8" s="117"/>
      <c r="AA8" s="117"/>
      <c r="AB8" s="117"/>
      <c r="AC8" s="117"/>
      <c r="AD8" s="117"/>
      <c r="AE8" s="117"/>
      <c r="AF8" s="1"/>
      <c r="AG8" s="1"/>
      <c r="AH8" s="1"/>
      <c r="AI8" s="1"/>
      <c r="AJ8" s="1"/>
    </row>
    <row r="9" spans="2:36">
      <c r="B9" s="115"/>
      <c r="C9" s="115"/>
      <c r="D9" s="115"/>
      <c r="E9" s="115"/>
      <c r="F9" s="115"/>
      <c r="G9" s="1"/>
      <c r="H9" s="1"/>
      <c r="I9" s="1"/>
      <c r="J9" s="1"/>
      <c r="K9" s="1"/>
      <c r="L9" s="115"/>
      <c r="M9" s="115"/>
      <c r="N9" s="115"/>
      <c r="O9" s="115"/>
      <c r="P9" s="115"/>
      <c r="Q9" s="115"/>
      <c r="R9" s="115"/>
      <c r="S9" s="1"/>
      <c r="T9" s="1"/>
      <c r="U9" s="1"/>
      <c r="V9" s="1"/>
      <c r="W9" s="1"/>
      <c r="X9" s="117"/>
      <c r="Y9" s="117"/>
      <c r="Z9" s="117"/>
      <c r="AA9" s="117"/>
      <c r="AB9" s="117"/>
      <c r="AC9" s="117"/>
      <c r="AD9" s="117"/>
      <c r="AE9" s="117"/>
      <c r="AF9" s="1"/>
      <c r="AG9" s="1"/>
      <c r="AH9" s="1"/>
      <c r="AI9" s="1"/>
      <c r="AJ9" s="1"/>
    </row>
    <row r="10" spans="2:36">
      <c r="B10" s="115"/>
      <c r="C10" s="115"/>
      <c r="D10" s="115"/>
      <c r="E10" s="115"/>
      <c r="F10" s="115"/>
      <c r="G10" s="1"/>
      <c r="H10" s="1"/>
      <c r="I10" s="1"/>
      <c r="J10" s="1"/>
      <c r="K10" s="1"/>
      <c r="L10" s="115"/>
      <c r="M10" s="115"/>
      <c r="N10" s="115"/>
      <c r="O10" s="115"/>
      <c r="P10" s="115"/>
      <c r="Q10" s="115"/>
      <c r="R10" s="115"/>
      <c r="S10" s="1"/>
      <c r="T10" s="1"/>
      <c r="U10" s="1"/>
      <c r="V10" s="1"/>
      <c r="W10" s="1"/>
      <c r="X10" s="117"/>
      <c r="Y10" s="117"/>
      <c r="Z10" s="117"/>
      <c r="AA10" s="117"/>
      <c r="AB10" s="117"/>
      <c r="AC10" s="117"/>
      <c r="AD10" s="117"/>
      <c r="AE10" s="117"/>
      <c r="AF10" s="1"/>
      <c r="AG10" s="1"/>
      <c r="AH10" s="1"/>
      <c r="AI10" s="1"/>
      <c r="AJ10" s="1"/>
    </row>
    <row r="11" spans="2:36">
      <c r="B11" s="115"/>
      <c r="C11" s="115"/>
      <c r="D11" s="115"/>
      <c r="E11" s="115"/>
      <c r="F11" s="115"/>
      <c r="G11" s="1"/>
      <c r="H11" s="1"/>
      <c r="I11" s="1"/>
      <c r="J11" s="1"/>
      <c r="K11" s="1"/>
      <c r="L11" s="115"/>
      <c r="M11" s="115"/>
      <c r="N11" s="115"/>
      <c r="O11" s="115"/>
      <c r="P11" s="115"/>
      <c r="Q11" s="115"/>
      <c r="R11" s="115"/>
      <c r="S11" s="1"/>
      <c r="T11" s="1"/>
      <c r="U11" s="1"/>
      <c r="V11" s="1"/>
      <c r="W11" s="1"/>
      <c r="X11" s="117"/>
      <c r="Y11" s="117"/>
      <c r="Z11" s="117"/>
      <c r="AA11" s="117"/>
      <c r="AB11" s="117"/>
      <c r="AC11" s="117"/>
      <c r="AD11" s="117"/>
      <c r="AE11" s="117"/>
      <c r="AF11" s="1"/>
      <c r="AG11" s="1"/>
      <c r="AH11" s="1"/>
      <c r="AI11" s="1"/>
      <c r="AJ11" s="1"/>
    </row>
    <row r="12" spans="2:36">
      <c r="B12" s="2" t="s">
        <v>0</v>
      </c>
      <c r="C12" s="2" t="s">
        <v>1</v>
      </c>
      <c r="D12" s="2" t="s">
        <v>2</v>
      </c>
      <c r="E12" s="2" t="s">
        <v>3</v>
      </c>
      <c r="F12" s="6" t="s">
        <v>4</v>
      </c>
      <c r="G12" s="1"/>
      <c r="H12" s="1"/>
      <c r="I12" s="1"/>
      <c r="J12" s="1"/>
      <c r="K12" s="1"/>
      <c r="L12" s="2" t="s">
        <v>0</v>
      </c>
      <c r="M12" s="2" t="s">
        <v>1</v>
      </c>
      <c r="N12" s="2" t="s">
        <v>2</v>
      </c>
      <c r="O12" s="2" t="s">
        <v>19</v>
      </c>
      <c r="P12" s="2" t="s">
        <v>45</v>
      </c>
      <c r="Q12" s="2" t="s">
        <v>3</v>
      </c>
      <c r="R12" s="6" t="s">
        <v>4</v>
      </c>
      <c r="S12" s="1"/>
      <c r="T12" s="1"/>
      <c r="U12" s="1"/>
      <c r="V12" s="1"/>
      <c r="W12" s="1"/>
      <c r="X12" s="6" t="s">
        <v>0</v>
      </c>
      <c r="Y12" s="6" t="s">
        <v>1</v>
      </c>
      <c r="Z12" s="6" t="s">
        <v>2</v>
      </c>
      <c r="AA12" s="6" t="s">
        <v>9</v>
      </c>
      <c r="AB12" s="6" t="s">
        <v>10</v>
      </c>
      <c r="AC12" s="6" t="s">
        <v>11</v>
      </c>
      <c r="AD12" s="6" t="s">
        <v>3</v>
      </c>
      <c r="AE12" s="6" t="s">
        <v>4</v>
      </c>
      <c r="AF12" s="1"/>
      <c r="AG12" s="1" t="s">
        <v>153</v>
      </c>
      <c r="AH12" s="1"/>
      <c r="AI12" s="1"/>
      <c r="AJ12" s="1"/>
    </row>
    <row r="13" spans="2:36">
      <c r="B13" s="2">
        <f>DATA!C47+40</f>
        <v>505</v>
      </c>
      <c r="C13" s="2">
        <v>150</v>
      </c>
      <c r="D13" s="2">
        <v>2</v>
      </c>
      <c r="E13" s="2">
        <v>3</v>
      </c>
      <c r="F13" s="6" t="s">
        <v>94</v>
      </c>
      <c r="G13" s="1"/>
      <c r="H13" s="1"/>
      <c r="I13" s="1"/>
      <c r="J13" s="1"/>
      <c r="K13" s="1"/>
      <c r="L13" s="2">
        <f>IF(DATA!P25=2,56,IF(DATA!P25=1,35,0))</f>
        <v>0</v>
      </c>
      <c r="M13" s="2">
        <f>IF(DATA!P25=2,20,IF(DATA!P25=1,10,0))</f>
        <v>0</v>
      </c>
      <c r="N13" s="2">
        <f>IF(DATA!P25=2,44,IF(DATA!P25=1,30,0))</f>
        <v>0</v>
      </c>
      <c r="O13" s="2">
        <f>IF(L13&gt;0,DATA!C47-2,0)</f>
        <v>0</v>
      </c>
      <c r="P13" s="2">
        <f>IF(DATA!P25=2,117,IF(DATA!P25=1,112,0))</f>
        <v>0</v>
      </c>
      <c r="Q13" s="2">
        <f>IF(L13&gt;0,6,0)</f>
        <v>0</v>
      </c>
      <c r="R13" s="6" t="s">
        <v>102</v>
      </c>
      <c r="S13" s="1"/>
      <c r="T13" s="1"/>
      <c r="U13" s="1"/>
      <c r="V13" s="1"/>
      <c r="W13" s="1"/>
      <c r="X13" s="56">
        <f>(PI()*(DATA!P14*DATA!P30*2+DATA!C12+DATA!C27*2+DATA!P12*2+DATA!C38*2)+DATA!C13*2+60)*DATA!P32</f>
        <v>0</v>
      </c>
      <c r="Y13" s="7">
        <f>DATA!C47-2</f>
        <v>463</v>
      </c>
      <c r="Z13" s="7">
        <v>0.25</v>
      </c>
      <c r="AA13" s="7">
        <v>19</v>
      </c>
      <c r="AB13" s="7">
        <v>4.25</v>
      </c>
      <c r="AC13" s="7">
        <v>6</v>
      </c>
      <c r="AD13" s="7" t="str">
        <f>IF(DATA!C44=1,"1",IF(DATA!C44=0.33,"1",IF(DATA!C44=0.67,"2","0")))</f>
        <v>0</v>
      </c>
      <c r="AE13" s="7" t="s">
        <v>94</v>
      </c>
      <c r="AF13" s="1"/>
      <c r="AG13" s="1">
        <v>14</v>
      </c>
      <c r="AH13" s="33">
        <f>(AG13*2)/4.67</f>
        <v>5.9957173447537473</v>
      </c>
      <c r="AI13" s="32">
        <f>AH13+1</f>
        <v>6.9957173447537473</v>
      </c>
      <c r="AJ13" s="1"/>
    </row>
    <row r="14" spans="2:36"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4">
        <f>IF(DATA!C45&gt;0,(PI()*(DATA!P14*DATA!P31*2+DATA!C12+DATA!C27*2+DATA!P12*2+DATA!C38*2)+DATA!C13*2+60)*DATA!P33,0)</f>
        <v>0</v>
      </c>
      <c r="Y14" s="6" t="str">
        <f>IF(X14&gt;0,DATA!C47-2,"0")</f>
        <v>0</v>
      </c>
      <c r="Z14" s="6" t="str">
        <f>IF(X14&gt;0,0.25,"0")</f>
        <v>0</v>
      </c>
      <c r="AA14" s="6" t="str">
        <f>IF(X14&gt;0,19,"0")</f>
        <v>0</v>
      </c>
      <c r="AB14" s="6" t="str">
        <f>IF(X14&gt;0,4.25,"0")</f>
        <v>0</v>
      </c>
      <c r="AC14" s="6" t="str">
        <f>IF(X14&gt;0,6,"0")</f>
        <v>0</v>
      </c>
      <c r="AD14" s="6" t="str">
        <f>IF(DATA!C45=1,"1",IF(DATA!C45=0.33,"1",IF(DATA!C45=0.67,"2","0")))</f>
        <v>0</v>
      </c>
      <c r="AE14" s="6" t="str">
        <f>IF(X14&gt;0, AE13,"0")</f>
        <v>0</v>
      </c>
      <c r="AF14" s="1"/>
      <c r="AG14" s="1">
        <v>14</v>
      </c>
      <c r="AH14" s="33">
        <f>(AG14*3.33)/4.67</f>
        <v>9.9828693790149909</v>
      </c>
      <c r="AI14" s="32">
        <f>AH14+1</f>
        <v>10.982869379014991</v>
      </c>
      <c r="AJ14" s="1"/>
    </row>
    <row r="15" spans="2:36"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7" ht="16">
      <c r="B17" s="114" t="s">
        <v>17</v>
      </c>
      <c r="C17" s="114"/>
      <c r="D17" s="114"/>
      <c r="E17" s="114"/>
      <c r="F17" s="1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16" t="s">
        <v>13</v>
      </c>
      <c r="Y17" s="116"/>
      <c r="Z17" s="116"/>
      <c r="AA17" s="116"/>
      <c r="AB17" s="116"/>
      <c r="AC17" s="116"/>
      <c r="AD17" s="116"/>
      <c r="AE17" s="116"/>
      <c r="AF17" s="1"/>
      <c r="AG17" s="1"/>
      <c r="AH17" s="1"/>
      <c r="AI17" s="1"/>
      <c r="AJ17" s="1"/>
    </row>
    <row r="18" spans="2:37">
      <c r="B18" s="115"/>
      <c r="C18" s="115"/>
      <c r="D18" s="115"/>
      <c r="E18" s="115"/>
      <c r="F18" s="1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17"/>
      <c r="Y18" s="117"/>
      <c r="Z18" s="117"/>
      <c r="AA18" s="117"/>
      <c r="AB18" s="117"/>
      <c r="AC18" s="117"/>
      <c r="AD18" s="117"/>
      <c r="AE18" s="117"/>
      <c r="AF18" s="1"/>
      <c r="AG18" s="1"/>
      <c r="AH18" s="1"/>
      <c r="AI18" s="1"/>
      <c r="AJ18" s="32"/>
    </row>
    <row r="19" spans="2:37">
      <c r="B19" s="115"/>
      <c r="C19" s="115"/>
      <c r="D19" s="115"/>
      <c r="E19" s="115"/>
      <c r="F19" s="1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17"/>
      <c r="Y19" s="117"/>
      <c r="Z19" s="117"/>
      <c r="AA19" s="117"/>
      <c r="AB19" s="117"/>
      <c r="AC19" s="117"/>
      <c r="AD19" s="117"/>
      <c r="AE19" s="117"/>
      <c r="AF19" s="1"/>
      <c r="AG19" s="1"/>
      <c r="AH19" s="1"/>
      <c r="AI19" s="1"/>
      <c r="AJ19" s="1"/>
    </row>
    <row r="20" spans="2:37">
      <c r="B20" s="115"/>
      <c r="C20" s="115"/>
      <c r="D20" s="115"/>
      <c r="E20" s="115"/>
      <c r="F20" s="1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17"/>
      <c r="Y20" s="117"/>
      <c r="Z20" s="117"/>
      <c r="AA20" s="117"/>
      <c r="AB20" s="117"/>
      <c r="AC20" s="117"/>
      <c r="AD20" s="117"/>
      <c r="AE20" s="117"/>
      <c r="AF20" s="1"/>
      <c r="AG20" s="1"/>
      <c r="AH20" s="1"/>
      <c r="AI20" s="1"/>
      <c r="AJ20" s="1"/>
    </row>
    <row r="21" spans="2:37">
      <c r="B21" s="115"/>
      <c r="C21" s="115"/>
      <c r="D21" s="115"/>
      <c r="E21" s="115"/>
      <c r="F21" s="1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17"/>
      <c r="Y21" s="117"/>
      <c r="Z21" s="117"/>
      <c r="AA21" s="117"/>
      <c r="AB21" s="117"/>
      <c r="AC21" s="117"/>
      <c r="AD21" s="117"/>
      <c r="AE21" s="117"/>
      <c r="AF21" s="1"/>
      <c r="AG21" s="1"/>
      <c r="AH21" s="1"/>
      <c r="AI21" s="1"/>
      <c r="AJ21" s="1"/>
    </row>
    <row r="22" spans="2:37">
      <c r="B22" s="115"/>
      <c r="C22" s="115"/>
      <c r="D22" s="115"/>
      <c r="E22" s="115"/>
      <c r="F22" s="115"/>
      <c r="X22" s="117"/>
      <c r="Y22" s="117"/>
      <c r="Z22" s="117"/>
      <c r="AA22" s="117"/>
      <c r="AB22" s="117"/>
      <c r="AC22" s="117"/>
      <c r="AD22" s="117"/>
      <c r="AE22" s="117"/>
    </row>
    <row r="23" spans="2:37">
      <c r="B23" s="115"/>
      <c r="C23" s="115"/>
      <c r="D23" s="115"/>
      <c r="E23" s="115"/>
      <c r="F23" s="115"/>
      <c r="X23" s="117"/>
      <c r="Y23" s="117"/>
      <c r="Z23" s="117"/>
      <c r="AA23" s="117"/>
      <c r="AB23" s="117"/>
      <c r="AC23" s="117"/>
      <c r="AD23" s="117"/>
      <c r="AE23" s="117"/>
    </row>
    <row r="24" spans="2:37">
      <c r="B24" s="115"/>
      <c r="C24" s="115"/>
      <c r="D24" s="115"/>
      <c r="E24" s="115"/>
      <c r="F24" s="115"/>
      <c r="X24" s="117"/>
      <c r="Y24" s="117"/>
      <c r="Z24" s="117"/>
      <c r="AA24" s="117"/>
      <c r="AB24" s="117"/>
      <c r="AC24" s="117"/>
      <c r="AD24" s="117"/>
      <c r="AE24" s="117"/>
    </row>
    <row r="25" spans="2:37">
      <c r="B25" s="115"/>
      <c r="C25" s="115"/>
      <c r="D25" s="115"/>
      <c r="E25" s="115"/>
      <c r="F25" s="115"/>
      <c r="X25" s="117"/>
      <c r="Y25" s="117"/>
      <c r="Z25" s="117"/>
      <c r="AA25" s="117"/>
      <c r="AB25" s="117"/>
      <c r="AC25" s="117"/>
      <c r="AD25" s="117"/>
      <c r="AE25" s="117"/>
    </row>
    <row r="26" spans="2:37">
      <c r="B26" s="115"/>
      <c r="C26" s="115"/>
      <c r="D26" s="115"/>
      <c r="E26" s="115"/>
      <c r="F26" s="115"/>
      <c r="R26">
        <v>1</v>
      </c>
      <c r="S26" s="36"/>
      <c r="X26" s="117"/>
      <c r="Y26" s="117"/>
      <c r="Z26" s="117"/>
      <c r="AA26" s="117"/>
      <c r="AB26" s="117"/>
      <c r="AC26" s="117"/>
      <c r="AD26" s="117"/>
      <c r="AE26" s="117"/>
    </row>
    <row r="27" spans="2:37">
      <c r="B27" s="2" t="s">
        <v>0</v>
      </c>
      <c r="C27" s="2" t="s">
        <v>1</v>
      </c>
      <c r="D27" s="2" t="s">
        <v>2</v>
      </c>
      <c r="E27" s="2" t="s">
        <v>3</v>
      </c>
      <c r="F27" s="6" t="s">
        <v>4</v>
      </c>
      <c r="R27">
        <v>2</v>
      </c>
      <c r="S27" s="36"/>
      <c r="X27" s="6" t="s">
        <v>0</v>
      </c>
      <c r="Y27" s="6" t="s">
        <v>1</v>
      </c>
      <c r="Z27" s="6" t="s">
        <v>9</v>
      </c>
      <c r="AA27" s="6" t="s">
        <v>10</v>
      </c>
      <c r="AB27" s="6" t="s">
        <v>11</v>
      </c>
      <c r="AC27" s="6" t="s">
        <v>14</v>
      </c>
      <c r="AD27" s="6" t="s">
        <v>3</v>
      </c>
      <c r="AE27" s="6" t="s">
        <v>4</v>
      </c>
    </row>
    <row r="28" spans="2:37">
      <c r="B28" s="2">
        <f>DATA!C47+40</f>
        <v>505</v>
      </c>
      <c r="C28" s="2">
        <v>150</v>
      </c>
      <c r="D28" s="2">
        <v>1</v>
      </c>
      <c r="E28" s="2">
        <v>3</v>
      </c>
      <c r="F28" s="6" t="s">
        <v>94</v>
      </c>
      <c r="R28">
        <v>3</v>
      </c>
      <c r="S28" s="36"/>
      <c r="X28" s="34">
        <f>PI()*(DATA!C12+DATA!C27*2+DATA!P12*2+DATA!C38*2)+DATA!C13*2+50</f>
        <v>988.06453943779104</v>
      </c>
      <c r="Y28" s="6">
        <f>DATA!C47-2</f>
        <v>463</v>
      </c>
      <c r="Z28" s="6" t="str">
        <f>IF(AND(DATA!C6&lt;=11000,DATA!C5&lt;=250),"20",IF(AND(DATA!C6&lt;=11000,DATA!C5&gt;=251),"40",IF(AND(DATA!C6&gt;=33000,DATA!C5&lt;=250),"30",IF(AND(DATA!C6&gt;=33000,DATA!C5&gt;=251),"40","?"))))</f>
        <v>40</v>
      </c>
      <c r="AA28" s="54" t="str">
        <f>IF(AND(DATA!C6&lt;=11000,DATA!C5&lt;=250),"6.5",IF(AND(DATA!C6&lt;=11000,DATA!C5&gt;=251),"8",IF(AND(DATA!C6&gt;=33000,DATA!C5&lt;=250),"14.5",IF(AND(DATA!C6&gt;=33000,DATA!C5&gt;=251),"16","?"))))</f>
        <v>8</v>
      </c>
      <c r="AB28" s="6">
        <v>10</v>
      </c>
      <c r="AC28" s="6" t="str">
        <f>IF(AND(DATA!C6&lt;=11000,DATA!C5&lt;=250),"0.5",IF(AND(DATA!C6&lt;=11000,DATA!C5&gt;=251),"2",IF(AND(DATA!C6&gt;=33000,DATA!C5&lt;=250),"0.5",IF(AND(DATA!C6&gt;=33000,DATA!C5&gt;=251),"2","?"))))</f>
        <v>2</v>
      </c>
      <c r="AD28" s="6">
        <v>1</v>
      </c>
      <c r="AE28" s="6" t="s">
        <v>94</v>
      </c>
    </row>
    <row r="29" spans="2:37">
      <c r="R29">
        <v>4</v>
      </c>
      <c r="S29" s="36"/>
      <c r="X29" s="1"/>
      <c r="Y29" s="1"/>
      <c r="Z29" s="1"/>
      <c r="AA29" s="1"/>
      <c r="AB29" s="1"/>
      <c r="AC29" s="1"/>
      <c r="AD29" s="1"/>
      <c r="AE29" s="1"/>
    </row>
    <row r="30" spans="2:37">
      <c r="R30">
        <v>5</v>
      </c>
      <c r="X30" s="118" t="s">
        <v>241</v>
      </c>
      <c r="Y30" s="119"/>
      <c r="Z30" s="55">
        <v>20</v>
      </c>
      <c r="AA30" s="55">
        <v>6.5</v>
      </c>
      <c r="AB30" s="55">
        <v>10</v>
      </c>
      <c r="AC30" s="55">
        <v>0.5</v>
      </c>
      <c r="AD30" s="1"/>
      <c r="AE30" s="1"/>
    </row>
    <row r="31" spans="2:37">
      <c r="R31">
        <v>6</v>
      </c>
      <c r="X31" s="118" t="s">
        <v>242</v>
      </c>
      <c r="Y31" s="119"/>
      <c r="Z31" s="55">
        <v>40</v>
      </c>
      <c r="AA31" s="55">
        <v>8</v>
      </c>
      <c r="AB31" s="55">
        <v>10</v>
      </c>
      <c r="AC31" s="55">
        <v>2</v>
      </c>
    </row>
    <row r="32" spans="2:37" ht="16">
      <c r="B32" s="114" t="s">
        <v>12</v>
      </c>
      <c r="C32" s="114"/>
      <c r="D32" s="114"/>
      <c r="E32" s="114"/>
      <c r="F32" s="114"/>
      <c r="R32">
        <v>7</v>
      </c>
      <c r="X32" s="118" t="s">
        <v>243</v>
      </c>
      <c r="Y32" s="119"/>
      <c r="Z32" s="55">
        <v>30</v>
      </c>
      <c r="AA32" s="55">
        <v>14.5</v>
      </c>
      <c r="AB32" s="55">
        <v>10</v>
      </c>
      <c r="AC32" s="55">
        <v>0.5</v>
      </c>
      <c r="AI32" t="s">
        <v>152</v>
      </c>
      <c r="AK32">
        <f>DATA!C38*2</f>
        <v>16</v>
      </c>
    </row>
    <row r="33" spans="2:37">
      <c r="B33" s="115"/>
      <c r="C33" s="115"/>
      <c r="D33" s="115"/>
      <c r="E33" s="115"/>
      <c r="F33" s="115"/>
      <c r="R33">
        <v>8</v>
      </c>
      <c r="X33" s="118" t="s">
        <v>244</v>
      </c>
      <c r="Y33" s="119"/>
      <c r="Z33" s="55">
        <v>40</v>
      </c>
      <c r="AA33" s="55">
        <v>16</v>
      </c>
      <c r="AB33" s="55">
        <v>10</v>
      </c>
      <c r="AC33" s="55">
        <v>2</v>
      </c>
      <c r="AI33" s="31" t="s">
        <v>148</v>
      </c>
      <c r="AK33" s="108">
        <f>LV!AA31</f>
        <v>330.15999999999997</v>
      </c>
    </row>
    <row r="34" spans="2:37">
      <c r="B34" s="115"/>
      <c r="C34" s="115"/>
      <c r="D34" s="115"/>
      <c r="E34" s="115"/>
      <c r="F34" s="115"/>
      <c r="R34">
        <v>9</v>
      </c>
      <c r="AI34" s="31" t="s">
        <v>149</v>
      </c>
      <c r="AK34">
        <v>0</v>
      </c>
    </row>
    <row r="35" spans="2:37">
      <c r="B35" s="115"/>
      <c r="C35" s="115"/>
      <c r="D35" s="115"/>
      <c r="E35" s="115"/>
      <c r="F35" s="115"/>
      <c r="R35">
        <v>10</v>
      </c>
      <c r="S35" s="36"/>
      <c r="AI35" s="31" t="s">
        <v>150</v>
      </c>
      <c r="AK35">
        <v>8</v>
      </c>
    </row>
    <row r="36" spans="2:37">
      <c r="B36" s="115"/>
      <c r="C36" s="115"/>
      <c r="D36" s="115"/>
      <c r="E36" s="115"/>
      <c r="F36" s="115"/>
      <c r="R36">
        <v>11</v>
      </c>
      <c r="S36" s="36"/>
      <c r="AI36" s="31" t="s">
        <v>151</v>
      </c>
      <c r="AK36">
        <v>0</v>
      </c>
    </row>
    <row r="37" spans="2:37">
      <c r="B37" s="115"/>
      <c r="C37" s="115"/>
      <c r="D37" s="115"/>
      <c r="E37" s="115"/>
      <c r="F37" s="115"/>
      <c r="R37">
        <v>12</v>
      </c>
      <c r="S37" s="36"/>
      <c r="AI37" s="31" t="s">
        <v>151</v>
      </c>
      <c r="AK37">
        <v>2</v>
      </c>
    </row>
    <row r="38" spans="2:37">
      <c r="B38" s="115"/>
      <c r="C38" s="115"/>
      <c r="D38" s="115"/>
      <c r="E38" s="115"/>
      <c r="F38" s="115"/>
      <c r="R38">
        <v>13</v>
      </c>
      <c r="S38" s="36"/>
      <c r="AI38" s="27" t="s">
        <v>142</v>
      </c>
      <c r="AK38">
        <f>DATA!C41</f>
        <v>39.07</v>
      </c>
    </row>
    <row r="39" spans="2:37">
      <c r="B39" s="115"/>
      <c r="C39" s="115"/>
      <c r="D39" s="115"/>
      <c r="E39" s="115"/>
      <c r="F39" s="115"/>
      <c r="R39">
        <v>14</v>
      </c>
      <c r="S39" s="36"/>
      <c r="AI39" s="27" t="s">
        <v>143</v>
      </c>
      <c r="AK39">
        <f>DATA!C41</f>
        <v>39.07</v>
      </c>
    </row>
    <row r="40" spans="2:37">
      <c r="B40" s="115"/>
      <c r="C40" s="115"/>
      <c r="D40" s="115"/>
      <c r="E40" s="115"/>
      <c r="F40" s="115"/>
      <c r="AI40" s="31"/>
    </row>
    <row r="41" spans="2:37">
      <c r="B41" s="115"/>
      <c r="C41" s="115"/>
      <c r="D41" s="115"/>
      <c r="E41" s="115"/>
      <c r="F41" s="115"/>
      <c r="AI41" s="31"/>
      <c r="AK41" s="8">
        <f>SUM(AK28:AK40)</f>
        <v>434.29999999999995</v>
      </c>
    </row>
    <row r="42" spans="2:37">
      <c r="B42" s="2" t="s">
        <v>0</v>
      </c>
      <c r="C42" s="2" t="s">
        <v>1</v>
      </c>
      <c r="D42" s="2" t="s">
        <v>2</v>
      </c>
      <c r="E42" s="2" t="s">
        <v>3</v>
      </c>
      <c r="F42" s="6" t="s">
        <v>4</v>
      </c>
    </row>
    <row r="43" spans="2:37">
      <c r="B43" s="2">
        <f>DATA!C47+DATA!C29*2</f>
        <v>565</v>
      </c>
      <c r="C43" s="2">
        <f>DATA!C29+20</f>
        <v>70</v>
      </c>
      <c r="D43" s="2">
        <v>1</v>
      </c>
      <c r="E43" s="2">
        <v>3</v>
      </c>
      <c r="F43" s="6" t="s">
        <v>94</v>
      </c>
    </row>
    <row r="46" spans="2:37" ht="16">
      <c r="B46" s="4"/>
      <c r="C46" s="4"/>
      <c r="D46" s="4"/>
      <c r="E46" s="4"/>
      <c r="F46" s="4"/>
    </row>
    <row r="47" spans="2:37" ht="16">
      <c r="B47" s="114" t="s">
        <v>15</v>
      </c>
      <c r="C47" s="114"/>
      <c r="D47" s="114"/>
      <c r="E47" s="114"/>
      <c r="F47" s="114"/>
    </row>
    <row r="48" spans="2:37">
      <c r="B48" s="115"/>
      <c r="C48" s="115"/>
      <c r="D48" s="115"/>
      <c r="E48" s="115"/>
      <c r="F48" s="115"/>
    </row>
    <row r="49" spans="2:32">
      <c r="B49" s="115"/>
      <c r="C49" s="115"/>
      <c r="D49" s="115"/>
      <c r="E49" s="115"/>
      <c r="F49" s="115"/>
    </row>
    <row r="50" spans="2:32">
      <c r="B50" s="115"/>
      <c r="C50" s="115"/>
      <c r="D50" s="115"/>
      <c r="E50" s="115"/>
      <c r="F50" s="115"/>
    </row>
    <row r="51" spans="2:32">
      <c r="B51" s="115"/>
      <c r="C51" s="115"/>
      <c r="D51" s="115"/>
      <c r="E51" s="115"/>
      <c r="F51" s="115"/>
    </row>
    <row r="52" spans="2:32">
      <c r="B52" s="115"/>
      <c r="C52" s="115"/>
      <c r="D52" s="115"/>
      <c r="E52" s="115"/>
      <c r="F52" s="115"/>
    </row>
    <row r="53" spans="2:32">
      <c r="B53" s="115"/>
      <c r="C53" s="115"/>
      <c r="D53" s="115"/>
      <c r="E53" s="115"/>
      <c r="F53" s="115"/>
    </row>
    <row r="54" spans="2:32">
      <c r="B54" s="115"/>
      <c r="C54" s="115"/>
      <c r="D54" s="115"/>
      <c r="E54" s="115"/>
      <c r="F54" s="115"/>
    </row>
    <row r="55" spans="2:32">
      <c r="B55" s="115"/>
      <c r="C55" s="115"/>
      <c r="D55" s="115"/>
      <c r="E55" s="115"/>
      <c r="F55" s="115"/>
    </row>
    <row r="56" spans="2:32">
      <c r="B56" s="115"/>
      <c r="C56" s="115"/>
      <c r="D56" s="115"/>
      <c r="E56" s="115"/>
      <c r="F56" s="115"/>
    </row>
    <row r="57" spans="2:32">
      <c r="B57" s="2" t="s">
        <v>0</v>
      </c>
      <c r="C57" s="2" t="s">
        <v>1</v>
      </c>
      <c r="D57" s="2" t="s">
        <v>2</v>
      </c>
      <c r="E57" s="2" t="s">
        <v>3</v>
      </c>
      <c r="F57" s="6" t="s">
        <v>4</v>
      </c>
    </row>
    <row r="58" spans="2:32">
      <c r="B58" s="2">
        <f>IF(DATA!C39=1,PI()*(DATA!C12+DATA!C27*2+DATA!P12*2+DATA!C38*2)+DATA!C13*2+50,0)</f>
        <v>0</v>
      </c>
      <c r="C58" s="2">
        <f>DATA!C47-2</f>
        <v>463</v>
      </c>
      <c r="D58" s="2">
        <v>1</v>
      </c>
      <c r="E58" s="2">
        <v>3</v>
      </c>
      <c r="F58" s="6" t="s">
        <v>94</v>
      </c>
      <c r="AF58" s="8"/>
    </row>
  </sheetData>
  <mergeCells count="18">
    <mergeCell ref="X31:Y31"/>
    <mergeCell ref="X32:Y32"/>
    <mergeCell ref="X33:Y33"/>
    <mergeCell ref="B48:F56"/>
    <mergeCell ref="B2:F2"/>
    <mergeCell ref="B3:F11"/>
    <mergeCell ref="B17:F17"/>
    <mergeCell ref="X18:AE26"/>
    <mergeCell ref="B47:F47"/>
    <mergeCell ref="B18:F26"/>
    <mergeCell ref="B32:F32"/>
    <mergeCell ref="B33:F41"/>
    <mergeCell ref="L2:R2"/>
    <mergeCell ref="L3:R11"/>
    <mergeCell ref="X2:AE2"/>
    <mergeCell ref="X3:AE11"/>
    <mergeCell ref="X17:AE17"/>
    <mergeCell ref="X30:Y30"/>
  </mergeCells>
  <phoneticPr fontId="11" type="noConversion"/>
  <pageMargins left="0.7" right="0.7" top="0.75" bottom="0.75" header="0.3" footer="0.3"/>
  <pageSetup paperSize="9" scale="5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P75"/>
  <sheetViews>
    <sheetView zoomScale="70" zoomScaleNormal="70" workbookViewId="0">
      <selection activeCell="R42" sqref="R42"/>
    </sheetView>
  </sheetViews>
  <sheetFormatPr baseColWidth="10" defaultColWidth="8.83203125" defaultRowHeight="15"/>
  <cols>
    <col min="1" max="1" width="4.6640625" customWidth="1"/>
    <col min="2" max="4" width="5.1640625" customWidth="1"/>
    <col min="5" max="5" width="4.5" customWidth="1"/>
    <col min="6" max="6" width="9" customWidth="1"/>
    <col min="12" max="14" width="6.1640625" customWidth="1"/>
    <col min="15" max="15" width="4.5" customWidth="1"/>
    <col min="16" max="16" width="9" customWidth="1"/>
  </cols>
  <sheetData>
    <row r="2" spans="2:16" ht="18.75" customHeight="1">
      <c r="B2" s="114" t="s">
        <v>20</v>
      </c>
      <c r="C2" s="114"/>
      <c r="D2" s="114"/>
      <c r="E2" s="114"/>
      <c r="F2" s="114"/>
      <c r="G2" s="1"/>
      <c r="H2" s="1"/>
      <c r="I2" s="1"/>
      <c r="J2" s="1"/>
      <c r="K2" s="1"/>
      <c r="L2" s="114" t="s">
        <v>22</v>
      </c>
      <c r="M2" s="114"/>
      <c r="N2" s="114"/>
      <c r="O2" s="114"/>
      <c r="P2" s="114"/>
    </row>
    <row r="3" spans="2:16">
      <c r="B3" s="115"/>
      <c r="C3" s="115"/>
      <c r="D3" s="115"/>
      <c r="E3" s="115"/>
      <c r="F3" s="115"/>
      <c r="G3" s="1"/>
      <c r="H3" s="1"/>
      <c r="I3" s="1"/>
      <c r="J3" s="1"/>
      <c r="K3" s="1"/>
      <c r="L3" s="115"/>
      <c r="M3" s="115"/>
      <c r="N3" s="115"/>
      <c r="O3" s="115"/>
      <c r="P3" s="115"/>
    </row>
    <row r="4" spans="2:16">
      <c r="B4" s="115"/>
      <c r="C4" s="115"/>
      <c r="D4" s="115"/>
      <c r="E4" s="115"/>
      <c r="F4" s="115"/>
      <c r="G4" s="1"/>
      <c r="H4" s="1"/>
      <c r="I4" s="1"/>
      <c r="J4" s="1"/>
      <c r="K4" s="1"/>
      <c r="L4" s="115"/>
      <c r="M4" s="115"/>
      <c r="N4" s="115"/>
      <c r="O4" s="115"/>
      <c r="P4" s="115"/>
    </row>
    <row r="5" spans="2:16">
      <c r="B5" s="115"/>
      <c r="C5" s="115"/>
      <c r="D5" s="115"/>
      <c r="E5" s="115"/>
      <c r="F5" s="115"/>
      <c r="G5" s="1"/>
      <c r="H5" s="1"/>
      <c r="I5" s="1"/>
      <c r="J5" s="1"/>
      <c r="K5" s="1"/>
      <c r="L5" s="115"/>
      <c r="M5" s="115"/>
      <c r="N5" s="115"/>
      <c r="O5" s="115"/>
      <c r="P5" s="115"/>
    </row>
    <row r="6" spans="2:16">
      <c r="B6" s="115"/>
      <c r="C6" s="115"/>
      <c r="D6" s="115"/>
      <c r="E6" s="115"/>
      <c r="F6" s="115"/>
      <c r="G6" s="1"/>
      <c r="H6" s="1"/>
      <c r="I6" s="1"/>
      <c r="J6" s="1"/>
      <c r="K6" s="1"/>
      <c r="L6" s="115"/>
      <c r="M6" s="115"/>
      <c r="N6" s="115"/>
      <c r="O6" s="115"/>
      <c r="P6" s="115"/>
    </row>
    <row r="7" spans="2:16">
      <c r="B7" s="115"/>
      <c r="C7" s="115"/>
      <c r="D7" s="115"/>
      <c r="E7" s="115"/>
      <c r="F7" s="115"/>
      <c r="G7" s="1"/>
      <c r="H7" s="1"/>
      <c r="I7" s="1"/>
      <c r="J7" s="1"/>
      <c r="K7" s="1"/>
      <c r="L7" s="115"/>
      <c r="M7" s="115"/>
      <c r="N7" s="115"/>
      <c r="O7" s="115"/>
      <c r="P7" s="115"/>
    </row>
    <row r="8" spans="2:16">
      <c r="B8" s="115"/>
      <c r="C8" s="115"/>
      <c r="D8" s="115"/>
      <c r="E8" s="115"/>
      <c r="F8" s="115"/>
      <c r="G8" s="1"/>
      <c r="H8" s="1"/>
      <c r="I8" s="1"/>
      <c r="J8" s="1"/>
      <c r="K8" s="1"/>
      <c r="L8" s="115"/>
      <c r="M8" s="115"/>
      <c r="N8" s="115"/>
      <c r="O8" s="115"/>
      <c r="P8" s="115"/>
    </row>
    <row r="9" spans="2:16">
      <c r="B9" s="115"/>
      <c r="C9" s="115"/>
      <c r="D9" s="115"/>
      <c r="E9" s="115"/>
      <c r="F9" s="115"/>
      <c r="G9" s="1"/>
      <c r="H9" s="1"/>
      <c r="I9" s="1"/>
      <c r="J9" s="1"/>
      <c r="K9" s="1"/>
      <c r="L9" s="115"/>
      <c r="M9" s="115"/>
      <c r="N9" s="115"/>
      <c r="O9" s="115"/>
      <c r="P9" s="115"/>
    </row>
    <row r="10" spans="2:16">
      <c r="B10" s="115"/>
      <c r="C10" s="115"/>
      <c r="D10" s="115"/>
      <c r="E10" s="115"/>
      <c r="F10" s="115"/>
      <c r="G10" s="1"/>
      <c r="H10" s="1"/>
      <c r="I10" s="1"/>
      <c r="J10" s="1"/>
      <c r="K10" s="1"/>
      <c r="L10" s="115"/>
      <c r="M10" s="115"/>
      <c r="N10" s="115"/>
      <c r="O10" s="115"/>
      <c r="P10" s="115"/>
    </row>
    <row r="11" spans="2:16">
      <c r="B11" s="115"/>
      <c r="C11" s="115"/>
      <c r="D11" s="115"/>
      <c r="E11" s="115"/>
      <c r="F11" s="115"/>
      <c r="G11" s="1"/>
      <c r="H11" s="1"/>
      <c r="I11" s="1"/>
      <c r="J11" s="1"/>
      <c r="K11" s="1"/>
      <c r="L11" s="115"/>
      <c r="M11" s="115"/>
      <c r="N11" s="115"/>
      <c r="O11" s="115"/>
      <c r="P11" s="115"/>
    </row>
    <row r="12" spans="2:16">
      <c r="B12" s="2" t="s">
        <v>0</v>
      </c>
      <c r="C12" s="2" t="s">
        <v>1</v>
      </c>
      <c r="D12" s="2" t="s">
        <v>2</v>
      </c>
      <c r="E12" s="2" t="s">
        <v>3</v>
      </c>
      <c r="F12" s="6" t="s">
        <v>4</v>
      </c>
      <c r="G12" s="1"/>
      <c r="H12" s="1"/>
      <c r="I12" s="1"/>
      <c r="J12" s="1"/>
      <c r="K12" s="1"/>
      <c r="L12" s="120" t="s">
        <v>24</v>
      </c>
      <c r="M12" s="121"/>
      <c r="N12" s="122"/>
      <c r="O12" s="2" t="s">
        <v>3</v>
      </c>
      <c r="P12" s="6" t="s">
        <v>4</v>
      </c>
    </row>
    <row r="13" spans="2:16">
      <c r="B13" s="2">
        <f>DATA!C9*2+DATA!C12</f>
        <v>800</v>
      </c>
      <c r="C13" s="2">
        <f>DATA!C12</f>
        <v>160</v>
      </c>
      <c r="D13" s="2">
        <v>2</v>
      </c>
      <c r="E13" s="2">
        <v>4</v>
      </c>
      <c r="F13" s="6" t="s">
        <v>94</v>
      </c>
      <c r="G13" s="1"/>
      <c r="H13" s="1"/>
      <c r="I13" s="1"/>
      <c r="J13" s="1"/>
      <c r="K13" s="1"/>
      <c r="L13" s="120" t="s">
        <v>108</v>
      </c>
      <c r="M13" s="121"/>
      <c r="N13" s="122"/>
      <c r="O13" s="2">
        <v>1</v>
      </c>
      <c r="P13" s="6" t="s">
        <v>102</v>
      </c>
    </row>
    <row r="14" spans="2:16">
      <c r="F14" s="5"/>
      <c r="G14" s="1"/>
      <c r="H14" s="1"/>
      <c r="I14" s="1"/>
      <c r="J14" s="1"/>
      <c r="K14" s="1"/>
      <c r="L14" s="1"/>
      <c r="M14" s="1"/>
      <c r="N14" s="1"/>
      <c r="O14" s="1"/>
    </row>
    <row r="15" spans="2:16">
      <c r="F15" s="5"/>
      <c r="G15" s="1"/>
      <c r="H15" s="1"/>
      <c r="I15" s="1"/>
      <c r="J15" s="1"/>
      <c r="K15" s="1"/>
      <c r="L15" s="1"/>
      <c r="M15" s="1"/>
      <c r="N15" s="1"/>
      <c r="O15" s="1"/>
    </row>
    <row r="16" spans="2:16">
      <c r="F16" s="5"/>
      <c r="G16" s="1"/>
      <c r="H16" s="1"/>
      <c r="I16" s="1"/>
      <c r="J16" s="1"/>
      <c r="K16" s="1"/>
      <c r="L16" s="1"/>
      <c r="M16" s="1"/>
      <c r="N16" s="1"/>
      <c r="O16" s="1"/>
    </row>
    <row r="17" spans="2:16" ht="16">
      <c r="B17" s="114" t="s">
        <v>21</v>
      </c>
      <c r="C17" s="114"/>
      <c r="D17" s="114"/>
      <c r="E17" s="114"/>
      <c r="F17" s="114"/>
      <c r="G17" s="1"/>
      <c r="H17" s="1"/>
      <c r="I17" s="1"/>
      <c r="J17" s="1"/>
      <c r="K17" s="1"/>
      <c r="L17" s="114" t="s">
        <v>23</v>
      </c>
      <c r="M17" s="114"/>
      <c r="N17" s="114"/>
      <c r="O17" s="114"/>
      <c r="P17" s="114"/>
    </row>
    <row r="18" spans="2:16">
      <c r="B18" s="115"/>
      <c r="C18" s="115"/>
      <c r="D18" s="115"/>
      <c r="E18" s="115"/>
      <c r="F18" s="115"/>
      <c r="G18" s="1"/>
      <c r="H18" s="1"/>
      <c r="I18" s="1"/>
      <c r="J18" s="1"/>
      <c r="K18" s="1"/>
      <c r="L18" s="115"/>
      <c r="M18" s="115"/>
      <c r="N18" s="115"/>
      <c r="O18" s="115"/>
      <c r="P18" s="115"/>
    </row>
    <row r="19" spans="2:16">
      <c r="B19" s="115"/>
      <c r="C19" s="115"/>
      <c r="D19" s="115"/>
      <c r="E19" s="115"/>
      <c r="F19" s="115"/>
      <c r="G19" s="1"/>
      <c r="H19" s="1"/>
      <c r="I19" s="1"/>
      <c r="J19" s="1"/>
      <c r="K19" s="1"/>
      <c r="L19" s="115"/>
      <c r="M19" s="115"/>
      <c r="N19" s="115"/>
      <c r="O19" s="115"/>
      <c r="P19" s="115"/>
    </row>
    <row r="20" spans="2:16">
      <c r="B20" s="115"/>
      <c r="C20" s="115"/>
      <c r="D20" s="115"/>
      <c r="E20" s="115"/>
      <c r="F20" s="115"/>
      <c r="G20" s="1"/>
      <c r="H20" s="1"/>
      <c r="I20" s="1"/>
      <c r="J20" s="1"/>
      <c r="K20" s="1"/>
      <c r="L20" s="115"/>
      <c r="M20" s="115"/>
      <c r="N20" s="115"/>
      <c r="O20" s="115"/>
      <c r="P20" s="115"/>
    </row>
    <row r="21" spans="2:16">
      <c r="B21" s="115"/>
      <c r="C21" s="115"/>
      <c r="D21" s="115"/>
      <c r="E21" s="115"/>
      <c r="F21" s="115"/>
      <c r="G21" s="1"/>
      <c r="H21" s="1"/>
      <c r="I21" s="1"/>
      <c r="J21" s="1"/>
      <c r="K21" s="1"/>
      <c r="L21" s="115"/>
      <c r="M21" s="115"/>
      <c r="N21" s="115"/>
      <c r="O21" s="115"/>
      <c r="P21" s="115"/>
    </row>
    <row r="22" spans="2:16">
      <c r="B22" s="115"/>
      <c r="C22" s="115"/>
      <c r="D22" s="115"/>
      <c r="E22" s="115"/>
      <c r="F22" s="115"/>
      <c r="L22" s="115"/>
      <c r="M22" s="115"/>
      <c r="N22" s="115"/>
      <c r="O22" s="115"/>
      <c r="P22" s="115"/>
    </row>
    <row r="23" spans="2:16">
      <c r="B23" s="115"/>
      <c r="C23" s="115"/>
      <c r="D23" s="115"/>
      <c r="E23" s="115"/>
      <c r="F23" s="115"/>
      <c r="L23" s="115"/>
      <c r="M23" s="115"/>
      <c r="N23" s="115"/>
      <c r="O23" s="115"/>
      <c r="P23" s="115"/>
    </row>
    <row r="24" spans="2:16">
      <c r="B24" s="115"/>
      <c r="C24" s="115"/>
      <c r="D24" s="115"/>
      <c r="E24" s="115"/>
      <c r="F24" s="115"/>
      <c r="L24" s="115"/>
      <c r="M24" s="115"/>
      <c r="N24" s="115"/>
      <c r="O24" s="115"/>
      <c r="P24" s="115"/>
    </row>
    <row r="25" spans="2:16">
      <c r="B25" s="115"/>
      <c r="C25" s="115"/>
      <c r="D25" s="115"/>
      <c r="E25" s="115"/>
      <c r="F25" s="115"/>
      <c r="L25" s="115"/>
      <c r="M25" s="115"/>
      <c r="N25" s="115"/>
      <c r="O25" s="115"/>
      <c r="P25" s="115"/>
    </row>
    <row r="26" spans="2:16">
      <c r="B26" s="115"/>
      <c r="C26" s="115"/>
      <c r="D26" s="115"/>
      <c r="E26" s="115"/>
      <c r="F26" s="115"/>
      <c r="L26" s="115"/>
      <c r="M26" s="115"/>
      <c r="N26" s="115"/>
      <c r="O26" s="115"/>
      <c r="P26" s="115"/>
    </row>
    <row r="27" spans="2:16">
      <c r="B27" s="2" t="s">
        <v>0</v>
      </c>
      <c r="C27" s="2" t="s">
        <v>1</v>
      </c>
      <c r="D27" s="2" t="s">
        <v>2</v>
      </c>
      <c r="E27" s="2" t="s">
        <v>3</v>
      </c>
      <c r="F27" s="6" t="s">
        <v>4</v>
      </c>
      <c r="L27" s="120" t="s">
        <v>24</v>
      </c>
      <c r="M27" s="121"/>
      <c r="N27" s="122"/>
      <c r="O27" s="2" t="s">
        <v>3</v>
      </c>
      <c r="P27" s="6" t="s">
        <v>4</v>
      </c>
    </row>
    <row r="28" spans="2:16">
      <c r="B28" s="2">
        <f>DATA!C9-DATA!C20-4</f>
        <v>316</v>
      </c>
      <c r="C28" s="2">
        <f>(DATA!C18-DATA!C20)/2</f>
        <v>45</v>
      </c>
      <c r="D28" s="2">
        <f>DATA!C21</f>
        <v>8</v>
      </c>
      <c r="E28" s="2">
        <v>4</v>
      </c>
      <c r="F28" s="6" t="s">
        <v>102</v>
      </c>
      <c r="L28" s="120" t="s">
        <v>109</v>
      </c>
      <c r="M28" s="121"/>
      <c r="N28" s="122"/>
      <c r="O28" s="2">
        <v>3</v>
      </c>
      <c r="P28" s="6" t="s">
        <v>102</v>
      </c>
    </row>
    <row r="29" spans="2:16">
      <c r="B29" s="2">
        <f>DATA!C9-DATA!C20-4</f>
        <v>316</v>
      </c>
      <c r="C29" s="2">
        <f>(DATA!C18-DATA!C20)/2</f>
        <v>45</v>
      </c>
      <c r="D29" s="2">
        <f>DATA!C22</f>
        <v>6</v>
      </c>
      <c r="E29" s="2">
        <v>4</v>
      </c>
      <c r="F29" s="6" t="s">
        <v>102</v>
      </c>
    </row>
    <row r="30" spans="2:16">
      <c r="B30" s="3"/>
      <c r="C30" s="3"/>
      <c r="D30" s="3"/>
      <c r="E30" s="3"/>
      <c r="F30" s="5"/>
    </row>
    <row r="33" spans="2:16" ht="16">
      <c r="B33" s="114" t="s">
        <v>47</v>
      </c>
      <c r="C33" s="114"/>
      <c r="D33" s="114"/>
      <c r="E33" s="114"/>
      <c r="F33" s="114"/>
      <c r="L33" s="114" t="s">
        <v>25</v>
      </c>
      <c r="M33" s="114"/>
      <c r="N33" s="114"/>
      <c r="O33" s="114"/>
      <c r="P33" s="114"/>
    </row>
    <row r="34" spans="2:16">
      <c r="B34" s="115"/>
      <c r="C34" s="115"/>
      <c r="D34" s="115"/>
      <c r="E34" s="115"/>
      <c r="F34" s="115"/>
      <c r="L34" s="115"/>
      <c r="M34" s="115"/>
      <c r="N34" s="115"/>
      <c r="O34" s="115"/>
      <c r="P34" s="115"/>
    </row>
    <row r="35" spans="2:16">
      <c r="B35" s="115"/>
      <c r="C35" s="115"/>
      <c r="D35" s="115"/>
      <c r="E35" s="115"/>
      <c r="F35" s="115"/>
      <c r="L35" s="115"/>
      <c r="M35" s="115"/>
      <c r="N35" s="115"/>
      <c r="O35" s="115"/>
      <c r="P35" s="115"/>
    </row>
    <row r="36" spans="2:16">
      <c r="B36" s="115"/>
      <c r="C36" s="115"/>
      <c r="D36" s="115"/>
      <c r="E36" s="115"/>
      <c r="F36" s="115"/>
      <c r="L36" s="115"/>
      <c r="M36" s="115"/>
      <c r="N36" s="115"/>
      <c r="O36" s="115"/>
      <c r="P36" s="115"/>
    </row>
    <row r="37" spans="2:16">
      <c r="B37" s="115"/>
      <c r="C37" s="115"/>
      <c r="D37" s="115"/>
      <c r="E37" s="115"/>
      <c r="F37" s="115"/>
      <c r="L37" s="115"/>
      <c r="M37" s="115"/>
      <c r="N37" s="115"/>
      <c r="O37" s="115"/>
      <c r="P37" s="115"/>
    </row>
    <row r="38" spans="2:16">
      <c r="B38" s="115"/>
      <c r="C38" s="115"/>
      <c r="D38" s="115"/>
      <c r="E38" s="115"/>
      <c r="F38" s="115"/>
      <c r="L38" s="115"/>
      <c r="M38" s="115"/>
      <c r="N38" s="115"/>
      <c r="O38" s="115"/>
      <c r="P38" s="115"/>
    </row>
    <row r="39" spans="2:16">
      <c r="B39" s="115"/>
      <c r="C39" s="115"/>
      <c r="D39" s="115"/>
      <c r="E39" s="115"/>
      <c r="F39" s="115"/>
      <c r="L39" s="115"/>
      <c r="M39" s="115"/>
      <c r="N39" s="115"/>
      <c r="O39" s="115"/>
      <c r="P39" s="115"/>
    </row>
    <row r="40" spans="2:16">
      <c r="B40" s="115"/>
      <c r="C40" s="115"/>
      <c r="D40" s="115"/>
      <c r="E40" s="115"/>
      <c r="F40" s="115"/>
      <c r="L40" s="115"/>
      <c r="M40" s="115"/>
      <c r="N40" s="115"/>
      <c r="O40" s="115"/>
      <c r="P40" s="115"/>
    </row>
    <row r="41" spans="2:16">
      <c r="B41" s="115"/>
      <c r="C41" s="115"/>
      <c r="D41" s="115"/>
      <c r="E41" s="115"/>
      <c r="F41" s="115"/>
      <c r="L41" s="115"/>
      <c r="M41" s="115"/>
      <c r="N41" s="115"/>
      <c r="O41" s="115"/>
      <c r="P41" s="115"/>
    </row>
    <row r="42" spans="2:16">
      <c r="B42" s="115"/>
      <c r="C42" s="115"/>
      <c r="D42" s="115"/>
      <c r="E42" s="115"/>
      <c r="F42" s="115"/>
      <c r="L42" s="115"/>
      <c r="M42" s="115"/>
      <c r="N42" s="115"/>
      <c r="O42" s="115"/>
      <c r="P42" s="115"/>
    </row>
    <row r="43" spans="2:16">
      <c r="B43" s="120" t="s">
        <v>24</v>
      </c>
      <c r="C43" s="121"/>
      <c r="D43" s="122"/>
      <c r="E43" s="2" t="s">
        <v>3</v>
      </c>
      <c r="F43" s="6" t="s">
        <v>4</v>
      </c>
      <c r="L43" s="120" t="s">
        <v>24</v>
      </c>
      <c r="M43" s="121"/>
      <c r="N43" s="122"/>
      <c r="O43" s="2" t="s">
        <v>3</v>
      </c>
      <c r="P43" s="6" t="s">
        <v>4</v>
      </c>
    </row>
    <row r="44" spans="2:16">
      <c r="B44" s="120" t="s">
        <v>109</v>
      </c>
      <c r="C44" s="121"/>
      <c r="D44" s="122"/>
      <c r="E44" s="2">
        <v>2</v>
      </c>
      <c r="F44" s="6" t="s">
        <v>94</v>
      </c>
      <c r="L44" s="120" t="s">
        <v>110</v>
      </c>
      <c r="M44" s="121"/>
      <c r="N44" s="122"/>
      <c r="O44" s="2">
        <v>2</v>
      </c>
      <c r="P44" s="6" t="s">
        <v>102</v>
      </c>
    </row>
    <row r="48" spans="2:16" ht="16">
      <c r="B48" s="114" t="s">
        <v>48</v>
      </c>
      <c r="C48" s="114"/>
      <c r="D48" s="114"/>
      <c r="E48" s="114"/>
      <c r="F48" s="114"/>
      <c r="L48" s="114" t="s">
        <v>26</v>
      </c>
      <c r="M48" s="114"/>
      <c r="N48" s="114"/>
      <c r="O48" s="114"/>
      <c r="P48" s="114"/>
    </row>
    <row r="49" spans="1:16">
      <c r="B49" s="115"/>
      <c r="C49" s="115"/>
      <c r="D49" s="115"/>
      <c r="E49" s="115"/>
      <c r="F49" s="115"/>
      <c r="L49" s="115"/>
      <c r="M49" s="115"/>
      <c r="N49" s="115"/>
      <c r="O49" s="115"/>
      <c r="P49" s="115"/>
    </row>
    <row r="50" spans="1:16">
      <c r="B50" s="115"/>
      <c r="C50" s="115"/>
      <c r="D50" s="115"/>
      <c r="E50" s="115"/>
      <c r="F50" s="115"/>
      <c r="L50" s="115"/>
      <c r="M50" s="115"/>
      <c r="N50" s="115"/>
      <c r="O50" s="115"/>
      <c r="P50" s="115"/>
    </row>
    <row r="51" spans="1:16">
      <c r="B51" s="115"/>
      <c r="C51" s="115"/>
      <c r="D51" s="115"/>
      <c r="E51" s="115"/>
      <c r="F51" s="115"/>
      <c r="L51" s="115"/>
      <c r="M51" s="115"/>
      <c r="N51" s="115"/>
      <c r="O51" s="115"/>
      <c r="P51" s="115"/>
    </row>
    <row r="52" spans="1:16">
      <c r="B52" s="115"/>
      <c r="C52" s="115"/>
      <c r="D52" s="115"/>
      <c r="E52" s="115"/>
      <c r="F52" s="115"/>
      <c r="L52" s="115"/>
      <c r="M52" s="115"/>
      <c r="N52" s="115"/>
      <c r="O52" s="115"/>
      <c r="P52" s="115"/>
    </row>
    <row r="53" spans="1:16">
      <c r="B53" s="115"/>
      <c r="C53" s="115"/>
      <c r="D53" s="115"/>
      <c r="E53" s="115"/>
      <c r="F53" s="115"/>
      <c r="L53" s="115"/>
      <c r="M53" s="115"/>
      <c r="N53" s="115"/>
      <c r="O53" s="115"/>
      <c r="P53" s="115"/>
    </row>
    <row r="54" spans="1:16">
      <c r="B54" s="115"/>
      <c r="C54" s="115"/>
      <c r="D54" s="115"/>
      <c r="E54" s="115"/>
      <c r="F54" s="115"/>
      <c r="L54" s="115"/>
      <c r="M54" s="115"/>
      <c r="N54" s="115"/>
      <c r="O54" s="115"/>
      <c r="P54" s="115"/>
    </row>
    <row r="55" spans="1:16">
      <c r="B55" s="115"/>
      <c r="C55" s="115"/>
      <c r="D55" s="115"/>
      <c r="E55" s="115"/>
      <c r="F55" s="115"/>
      <c r="L55" s="115"/>
      <c r="M55" s="115"/>
      <c r="N55" s="115"/>
      <c r="O55" s="115"/>
      <c r="P55" s="115"/>
    </row>
    <row r="56" spans="1:16">
      <c r="B56" s="115"/>
      <c r="C56" s="115"/>
      <c r="D56" s="115"/>
      <c r="E56" s="115"/>
      <c r="F56" s="115"/>
      <c r="L56" s="115"/>
      <c r="M56" s="115"/>
      <c r="N56" s="115"/>
      <c r="O56" s="115"/>
      <c r="P56" s="115"/>
    </row>
    <row r="57" spans="1:16">
      <c r="B57" s="115"/>
      <c r="C57" s="115"/>
      <c r="D57" s="115"/>
      <c r="E57" s="115"/>
      <c r="F57" s="115"/>
      <c r="L57" s="115"/>
      <c r="M57" s="115"/>
      <c r="N57" s="115"/>
      <c r="O57" s="115"/>
      <c r="P57" s="115"/>
    </row>
    <row r="58" spans="1:16">
      <c r="B58" s="120" t="s">
        <v>24</v>
      </c>
      <c r="C58" s="121"/>
      <c r="D58" s="122"/>
      <c r="E58" s="2" t="s">
        <v>3</v>
      </c>
      <c r="F58" s="6" t="s">
        <v>4</v>
      </c>
      <c r="L58" s="120" t="s">
        <v>24</v>
      </c>
      <c r="M58" s="121"/>
      <c r="N58" s="122"/>
      <c r="O58" s="2" t="s">
        <v>3</v>
      </c>
      <c r="P58" s="6" t="s">
        <v>4</v>
      </c>
    </row>
    <row r="59" spans="1:16">
      <c r="B59" s="120" t="s">
        <v>109</v>
      </c>
      <c r="C59" s="121"/>
      <c r="D59" s="122"/>
      <c r="E59" s="2">
        <v>2</v>
      </c>
      <c r="F59" s="6" t="s">
        <v>94</v>
      </c>
      <c r="L59" s="120" t="s">
        <v>110</v>
      </c>
      <c r="M59" s="121"/>
      <c r="N59" s="122"/>
      <c r="O59" s="2">
        <v>2</v>
      </c>
      <c r="P59" s="6" t="s">
        <v>102</v>
      </c>
    </row>
    <row r="62" spans="1:16">
      <c r="A62" s="20" t="s">
        <v>157</v>
      </c>
      <c r="B62" s="20"/>
      <c r="C62" s="20"/>
      <c r="D62" s="20"/>
    </row>
    <row r="63" spans="1:16" ht="16">
      <c r="A63" s="20">
        <v>18</v>
      </c>
      <c r="B63" s="20">
        <f>(DATA!C13+DATA!C15+DATA!C17+DATA!C19+DATA!C21+DATA!C22)-15</f>
        <v>217.1</v>
      </c>
      <c r="C63" s="20">
        <v>8</v>
      </c>
      <c r="D63" s="20"/>
      <c r="L63" s="114" t="s">
        <v>107</v>
      </c>
      <c r="M63" s="114"/>
      <c r="N63" s="114"/>
      <c r="O63" s="114"/>
      <c r="P63" s="114"/>
    </row>
    <row r="64" spans="1:16">
      <c r="L64" s="115"/>
      <c r="M64" s="115"/>
      <c r="N64" s="115"/>
      <c r="O64" s="115"/>
      <c r="P64" s="115"/>
    </row>
    <row r="65" spans="2:16">
      <c r="L65" s="115"/>
      <c r="M65" s="115"/>
      <c r="N65" s="115"/>
      <c r="O65" s="115"/>
      <c r="P65" s="115"/>
    </row>
    <row r="66" spans="2:16">
      <c r="L66" s="115"/>
      <c r="M66" s="115"/>
      <c r="N66" s="115"/>
      <c r="O66" s="115"/>
      <c r="P66" s="115"/>
    </row>
    <row r="67" spans="2:16">
      <c r="L67" s="115"/>
      <c r="M67" s="115"/>
      <c r="N67" s="115"/>
      <c r="O67" s="115"/>
      <c r="P67" s="115"/>
    </row>
    <row r="68" spans="2:16">
      <c r="L68" s="115"/>
      <c r="M68" s="115"/>
      <c r="N68" s="115"/>
      <c r="O68" s="115"/>
      <c r="P68" s="115"/>
    </row>
    <row r="69" spans="2:16">
      <c r="L69" s="115"/>
      <c r="M69" s="115"/>
      <c r="N69" s="115"/>
      <c r="O69" s="115"/>
      <c r="P69" s="115"/>
    </row>
    <row r="70" spans="2:16">
      <c r="L70" s="115"/>
      <c r="M70" s="115"/>
      <c r="N70" s="115"/>
      <c r="O70" s="115"/>
      <c r="P70" s="115"/>
    </row>
    <row r="71" spans="2:16">
      <c r="L71" s="115"/>
      <c r="M71" s="115"/>
      <c r="N71" s="115"/>
      <c r="O71" s="115"/>
      <c r="P71" s="115"/>
    </row>
    <row r="72" spans="2:16">
      <c r="L72" s="115"/>
      <c r="M72" s="115"/>
      <c r="N72" s="115"/>
      <c r="O72" s="115"/>
      <c r="P72" s="115"/>
    </row>
    <row r="73" spans="2:16">
      <c r="L73" s="120" t="s">
        <v>24</v>
      </c>
      <c r="M73" s="121"/>
      <c r="N73" s="122"/>
      <c r="O73" s="2" t="s">
        <v>3</v>
      </c>
      <c r="P73" s="6" t="s">
        <v>4</v>
      </c>
    </row>
    <row r="74" spans="2:16">
      <c r="L74" s="120" t="s">
        <v>110</v>
      </c>
      <c r="M74" s="121"/>
      <c r="N74" s="122"/>
      <c r="O74" s="2">
        <v>6</v>
      </c>
      <c r="P74" s="6" t="s">
        <v>94</v>
      </c>
    </row>
    <row r="75" spans="2:16">
      <c r="B75" s="3"/>
      <c r="C75" s="3"/>
      <c r="D75" s="3"/>
      <c r="E75" s="3"/>
      <c r="F75" s="5"/>
    </row>
  </sheetData>
  <mergeCells count="32">
    <mergeCell ref="B33:F33"/>
    <mergeCell ref="B34:F42"/>
    <mergeCell ref="B48:F48"/>
    <mergeCell ref="B49:F57"/>
    <mergeCell ref="L58:N58"/>
    <mergeCell ref="L33:P33"/>
    <mergeCell ref="L34:P42"/>
    <mergeCell ref="L43:N43"/>
    <mergeCell ref="L44:N44"/>
    <mergeCell ref="L48:P48"/>
    <mergeCell ref="L28:N28"/>
    <mergeCell ref="B17:F17"/>
    <mergeCell ref="B18:F26"/>
    <mergeCell ref="L2:P2"/>
    <mergeCell ref="L3:P11"/>
    <mergeCell ref="B2:F2"/>
    <mergeCell ref="B3:F11"/>
    <mergeCell ref="L17:P17"/>
    <mergeCell ref="L18:P26"/>
    <mergeCell ref="L12:N12"/>
    <mergeCell ref="L13:N13"/>
    <mergeCell ref="L27:N27"/>
    <mergeCell ref="L64:P72"/>
    <mergeCell ref="L73:N73"/>
    <mergeCell ref="L74:N74"/>
    <mergeCell ref="B44:D44"/>
    <mergeCell ref="B43:D43"/>
    <mergeCell ref="B58:D58"/>
    <mergeCell ref="B59:D59"/>
    <mergeCell ref="L63:P63"/>
    <mergeCell ref="L59:N59"/>
    <mergeCell ref="L49:P5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K108"/>
  <sheetViews>
    <sheetView zoomScale="85" zoomScaleNormal="85" workbookViewId="0">
      <selection activeCell="W26" sqref="W26"/>
    </sheetView>
  </sheetViews>
  <sheetFormatPr baseColWidth="10" defaultColWidth="8.83203125" defaultRowHeight="15"/>
  <cols>
    <col min="1" max="1" width="4.6640625" customWidth="1"/>
    <col min="2" max="2" width="5.1640625" style="37" customWidth="1"/>
    <col min="3" max="4" width="5.1640625" customWidth="1"/>
    <col min="5" max="5" width="4.5" customWidth="1"/>
    <col min="6" max="6" width="9" customWidth="1"/>
    <col min="12" max="14" width="6.1640625" customWidth="1"/>
    <col min="15" max="15" width="4.5" customWidth="1"/>
    <col min="16" max="16" width="9" customWidth="1"/>
    <col min="20" max="24" width="5.1640625" customWidth="1"/>
    <col min="25" max="25" width="9" customWidth="1"/>
    <col min="30" max="42" width="6" customWidth="1"/>
    <col min="52" max="54" width="13.5" customWidth="1"/>
    <col min="57" max="60" width="10.5" customWidth="1"/>
    <col min="62" max="62" width="10.6640625" customWidth="1"/>
  </cols>
  <sheetData>
    <row r="2" spans="2:56" ht="18.75" customHeight="1">
      <c r="B2" s="114" t="s">
        <v>27</v>
      </c>
      <c r="C2" s="114"/>
      <c r="D2" s="114"/>
      <c r="E2" s="114"/>
      <c r="F2" s="114"/>
      <c r="G2" s="1" t="s">
        <v>139</v>
      </c>
      <c r="H2" s="1"/>
      <c r="I2" s="1"/>
      <c r="J2" s="1"/>
      <c r="K2" s="1"/>
      <c r="L2" s="114" t="s">
        <v>29</v>
      </c>
      <c r="M2" s="114"/>
      <c r="N2" s="114"/>
      <c r="O2" s="114"/>
      <c r="P2" s="114"/>
      <c r="T2" s="114" t="s">
        <v>115</v>
      </c>
      <c r="U2" s="114"/>
      <c r="V2" s="114"/>
      <c r="W2" s="114"/>
      <c r="X2" s="114"/>
      <c r="Y2" s="114"/>
      <c r="AD2" s="114" t="s">
        <v>56</v>
      </c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Z2" s="114" t="s">
        <v>32</v>
      </c>
      <c r="BA2" s="114"/>
      <c r="BB2" s="114"/>
    </row>
    <row r="3" spans="2:56">
      <c r="B3" s="115"/>
      <c r="C3" s="115"/>
      <c r="D3" s="115"/>
      <c r="E3" s="115"/>
      <c r="F3" s="115"/>
      <c r="G3" s="1"/>
      <c r="H3" s="1"/>
      <c r="I3" s="1"/>
      <c r="J3" s="1"/>
      <c r="K3" s="1"/>
      <c r="L3" s="115"/>
      <c r="M3" s="115"/>
      <c r="N3" s="115"/>
      <c r="O3" s="115"/>
      <c r="P3" s="115"/>
      <c r="T3" s="115"/>
      <c r="U3" s="115"/>
      <c r="V3" s="115"/>
      <c r="W3" s="115"/>
      <c r="X3" s="115"/>
      <c r="Y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Z3" s="124"/>
      <c r="BA3" s="124"/>
      <c r="BB3" s="124"/>
    </row>
    <row r="4" spans="2:56">
      <c r="B4" s="115"/>
      <c r="C4" s="115"/>
      <c r="D4" s="115"/>
      <c r="E4" s="115"/>
      <c r="F4" s="115"/>
      <c r="G4" s="1"/>
      <c r="H4" s="1"/>
      <c r="I4" s="1"/>
      <c r="J4" s="1"/>
      <c r="K4" s="1"/>
      <c r="L4" s="115"/>
      <c r="M4" s="115"/>
      <c r="N4" s="115"/>
      <c r="O4" s="115"/>
      <c r="P4" s="115"/>
      <c r="T4" s="115"/>
      <c r="U4" s="115"/>
      <c r="V4" s="115"/>
      <c r="W4" s="115"/>
      <c r="X4" s="115"/>
      <c r="Y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Z4" s="124"/>
      <c r="BA4" s="124"/>
      <c r="BB4" s="124"/>
    </row>
    <row r="5" spans="2:56">
      <c r="B5" s="115"/>
      <c r="C5" s="115"/>
      <c r="D5" s="115"/>
      <c r="E5" s="115"/>
      <c r="F5" s="115"/>
      <c r="G5" s="1"/>
      <c r="H5" s="1"/>
      <c r="I5" s="1"/>
      <c r="J5" s="1"/>
      <c r="K5" s="1"/>
      <c r="L5" s="115"/>
      <c r="M5" s="115"/>
      <c r="N5" s="115"/>
      <c r="O5" s="115"/>
      <c r="P5" s="115"/>
      <c r="T5" s="115"/>
      <c r="U5" s="115"/>
      <c r="V5" s="115"/>
      <c r="W5" s="115"/>
      <c r="X5" s="115"/>
      <c r="Y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Z5" s="124"/>
      <c r="BA5" s="124"/>
      <c r="BB5" s="124"/>
    </row>
    <row r="6" spans="2:56">
      <c r="B6" s="115"/>
      <c r="C6" s="115"/>
      <c r="D6" s="115"/>
      <c r="E6" s="115"/>
      <c r="F6" s="115"/>
      <c r="G6" s="1"/>
      <c r="H6" s="1"/>
      <c r="I6" s="1"/>
      <c r="J6" s="1"/>
      <c r="K6" s="1"/>
      <c r="L6" s="115"/>
      <c r="M6" s="115"/>
      <c r="N6" s="115"/>
      <c r="O6" s="115"/>
      <c r="P6" s="115"/>
      <c r="T6" s="115"/>
      <c r="U6" s="115"/>
      <c r="V6" s="115"/>
      <c r="W6" s="115"/>
      <c r="X6" s="115"/>
      <c r="Y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Z6" s="124"/>
      <c r="BA6" s="124"/>
      <c r="BB6" s="124"/>
    </row>
    <row r="7" spans="2:56">
      <c r="B7" s="115"/>
      <c r="C7" s="115"/>
      <c r="D7" s="115"/>
      <c r="E7" s="115"/>
      <c r="F7" s="115"/>
      <c r="G7" s="1"/>
      <c r="H7" s="1"/>
      <c r="I7" s="1"/>
      <c r="J7" s="1"/>
      <c r="K7" s="1"/>
      <c r="L7" s="115"/>
      <c r="M7" s="115"/>
      <c r="N7" s="115"/>
      <c r="O7" s="115"/>
      <c r="P7" s="115"/>
      <c r="T7" s="115"/>
      <c r="U7" s="115"/>
      <c r="V7" s="115"/>
      <c r="W7" s="115"/>
      <c r="X7" s="115"/>
      <c r="Y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Z7" s="124"/>
      <c r="BA7" s="124"/>
      <c r="BB7" s="124"/>
    </row>
    <row r="8" spans="2:56">
      <c r="B8" s="115"/>
      <c r="C8" s="115"/>
      <c r="D8" s="115"/>
      <c r="E8" s="115"/>
      <c r="F8" s="115"/>
      <c r="G8" s="1"/>
      <c r="H8" s="1"/>
      <c r="I8" s="1"/>
      <c r="J8" s="1"/>
      <c r="K8" s="1"/>
      <c r="L8" s="115"/>
      <c r="M8" s="115"/>
      <c r="N8" s="115"/>
      <c r="O8" s="115"/>
      <c r="P8" s="115"/>
      <c r="T8" s="115"/>
      <c r="U8" s="115"/>
      <c r="V8" s="115"/>
      <c r="W8" s="115"/>
      <c r="X8" s="115"/>
      <c r="Y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Z8" s="124"/>
      <c r="BA8" s="124"/>
      <c r="BB8" s="124"/>
    </row>
    <row r="9" spans="2:56">
      <c r="B9" s="115"/>
      <c r="C9" s="115"/>
      <c r="D9" s="115"/>
      <c r="E9" s="115"/>
      <c r="F9" s="115"/>
      <c r="G9" s="1"/>
      <c r="H9" s="1"/>
      <c r="I9" s="1"/>
      <c r="J9" s="1"/>
      <c r="K9" s="1"/>
      <c r="L9" s="115"/>
      <c r="M9" s="115"/>
      <c r="N9" s="115"/>
      <c r="O9" s="115"/>
      <c r="P9" s="115"/>
      <c r="T9" s="115"/>
      <c r="U9" s="115"/>
      <c r="V9" s="115"/>
      <c r="W9" s="115"/>
      <c r="X9" s="115"/>
      <c r="Y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Z9" s="124"/>
      <c r="BA9" s="124"/>
      <c r="BB9" s="124"/>
    </row>
    <row r="10" spans="2:56">
      <c r="B10" s="115"/>
      <c r="C10" s="115"/>
      <c r="D10" s="115"/>
      <c r="E10" s="115"/>
      <c r="F10" s="115"/>
      <c r="G10" s="1"/>
      <c r="H10" s="1"/>
      <c r="I10" s="1"/>
      <c r="J10" s="1"/>
      <c r="K10" s="1"/>
      <c r="L10" s="115"/>
      <c r="M10" s="115"/>
      <c r="N10" s="115"/>
      <c r="O10" s="115"/>
      <c r="P10" s="115"/>
      <c r="T10" s="115"/>
      <c r="U10" s="115"/>
      <c r="V10" s="115"/>
      <c r="W10" s="115"/>
      <c r="X10" s="115"/>
      <c r="Y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Z10" s="124"/>
      <c r="BA10" s="124"/>
      <c r="BB10" s="124"/>
    </row>
    <row r="11" spans="2:56">
      <c r="B11" s="115"/>
      <c r="C11" s="115"/>
      <c r="D11" s="115"/>
      <c r="E11" s="115"/>
      <c r="F11" s="115"/>
      <c r="G11" s="1"/>
      <c r="H11" s="1"/>
      <c r="I11" s="1"/>
      <c r="J11" s="1"/>
      <c r="K11" s="1"/>
      <c r="L11" s="115"/>
      <c r="M11" s="115"/>
      <c r="N11" s="115"/>
      <c r="O11" s="115"/>
      <c r="P11" s="115"/>
      <c r="T11" s="115"/>
      <c r="U11" s="115"/>
      <c r="V11" s="115"/>
      <c r="W11" s="115"/>
      <c r="X11" s="115"/>
      <c r="Y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Z11" s="124"/>
      <c r="BA11" s="124"/>
      <c r="BB11" s="124"/>
    </row>
    <row r="12" spans="2:56">
      <c r="B12" s="2" t="s">
        <v>0</v>
      </c>
      <c r="C12" s="2" t="s">
        <v>1</v>
      </c>
      <c r="D12" s="2" t="s">
        <v>2</v>
      </c>
      <c r="E12" s="2" t="s">
        <v>3</v>
      </c>
      <c r="F12" s="6" t="s">
        <v>4</v>
      </c>
      <c r="G12" s="1"/>
      <c r="H12" s="1"/>
      <c r="I12" s="1"/>
      <c r="J12" s="1"/>
      <c r="K12" s="1"/>
      <c r="L12" s="120" t="s">
        <v>24</v>
      </c>
      <c r="M12" s="121"/>
      <c r="N12" s="122"/>
      <c r="O12" s="2" t="s">
        <v>3</v>
      </c>
      <c r="P12" s="6" t="s">
        <v>4</v>
      </c>
      <c r="T12" s="2" t="s">
        <v>0</v>
      </c>
      <c r="U12" s="2" t="s">
        <v>1</v>
      </c>
      <c r="V12" s="2" t="s">
        <v>2</v>
      </c>
      <c r="W12" s="6" t="s">
        <v>19</v>
      </c>
      <c r="X12" s="2" t="s">
        <v>3</v>
      </c>
      <c r="Y12" s="15" t="s">
        <v>4</v>
      </c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Z12" s="6" t="s">
        <v>33</v>
      </c>
      <c r="BA12" s="6" t="s">
        <v>34</v>
      </c>
      <c r="BB12" s="6" t="s">
        <v>35</v>
      </c>
    </row>
    <row r="13" spans="2:56">
      <c r="B13" s="9">
        <f>DATA!C47+(DATA!C10-DATA!C47)/2</f>
        <v>474</v>
      </c>
      <c r="C13" s="9">
        <f>DATA!C29+10</f>
        <v>60</v>
      </c>
      <c r="D13" s="9">
        <v>2</v>
      </c>
      <c r="E13" s="17">
        <f>ROUNDUP(E15,0)*3</f>
        <v>9</v>
      </c>
      <c r="F13" s="7" t="s">
        <v>94</v>
      </c>
      <c r="G13" s="1"/>
      <c r="H13" s="1"/>
      <c r="I13" s="1"/>
      <c r="J13" s="1"/>
      <c r="K13" s="1"/>
      <c r="L13" s="120" t="s">
        <v>109</v>
      </c>
      <c r="M13" s="121"/>
      <c r="N13" s="122"/>
      <c r="O13" s="2">
        <v>2</v>
      </c>
      <c r="P13" s="6" t="s">
        <v>111</v>
      </c>
      <c r="T13" s="9">
        <f>IF(DATA!C15/2&lt;=20,15,IF(DATA!C15/2&lt;=25,20,IF(DATA!C15/2&lt;=30,25,IF(DATA!C15/2&lt;=35,30,35))))</f>
        <v>25</v>
      </c>
      <c r="U13" s="9">
        <f>IF(DATA!C15/2&lt;=25,2,3)</f>
        <v>3</v>
      </c>
      <c r="V13" s="9">
        <f>IF(DATA!C12-DATA!C14&lt;=10,4,IF(DATA!C12-DATA!C14&lt;=15,6,IF(DATA!C12-DATA!C14&lt;=20,8,IF(DATA!C12-DATA!C14&gt;20,12,0))))</f>
        <v>4</v>
      </c>
      <c r="W13" s="9">
        <f>DATA!C47-2</f>
        <v>463</v>
      </c>
      <c r="X13" s="9">
        <v>12</v>
      </c>
      <c r="Y13" s="7" t="s">
        <v>102</v>
      </c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Z13" s="6">
        <v>8</v>
      </c>
      <c r="BA13" s="6">
        <f>IF(BK23&gt;0,(DATA!C47-2)*4*BK23,0)</f>
        <v>3704</v>
      </c>
      <c r="BB13" s="6">
        <f>BA13*3</f>
        <v>11112</v>
      </c>
      <c r="BC13">
        <f>DATA!C47</f>
        <v>465</v>
      </c>
      <c r="BD13" s="35">
        <f>BB13/DATA!C47</f>
        <v>23.896774193548389</v>
      </c>
    </row>
    <row r="14" spans="2:56">
      <c r="B14" s="2">
        <f>DATA!C47+DATA!C12+DATA!C29/2</f>
        <v>650</v>
      </c>
      <c r="C14" s="2">
        <f>DATA!C29+20</f>
        <v>70</v>
      </c>
      <c r="D14" s="2">
        <v>1</v>
      </c>
      <c r="E14" s="2">
        <v>3</v>
      </c>
      <c r="F14" s="6" t="s">
        <v>94</v>
      </c>
      <c r="G14" s="1"/>
      <c r="H14" s="1"/>
      <c r="I14" s="1"/>
      <c r="J14" s="1"/>
      <c r="K14" s="1"/>
      <c r="L14" s="1"/>
      <c r="M14" s="1"/>
      <c r="N14" s="1"/>
      <c r="O14" s="1"/>
      <c r="T14" s="14"/>
      <c r="U14" s="14"/>
      <c r="V14" s="14"/>
      <c r="W14" s="14"/>
      <c r="X14" s="14"/>
      <c r="Y14" s="13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Z14" s="6">
        <v>10</v>
      </c>
      <c r="BA14" s="6">
        <f>IF(BK24&gt;0,(DATA!C47-2)*4*BK24,0)</f>
        <v>0</v>
      </c>
      <c r="BB14" s="6">
        <f>BA14*3</f>
        <v>0</v>
      </c>
      <c r="BC14">
        <f>DATA!C47</f>
        <v>465</v>
      </c>
      <c r="BD14" s="35">
        <f>BB14/DATA!C47</f>
        <v>0</v>
      </c>
    </row>
    <row r="15" spans="2:56">
      <c r="E15">
        <f>(DATA!C26/2)</f>
        <v>3</v>
      </c>
      <c r="F15" s="5"/>
      <c r="G15" s="1"/>
      <c r="H15" s="1"/>
      <c r="I15" s="1"/>
      <c r="J15" s="1"/>
      <c r="K15" s="1"/>
      <c r="L15" s="1"/>
      <c r="M15" s="1"/>
      <c r="N15" s="1"/>
      <c r="O15" s="1"/>
      <c r="Y15" s="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Z15" s="20">
        <v>12</v>
      </c>
      <c r="BA15" s="20">
        <f>IF(BK25&gt;0,(DATA!C47-2)*4*BK25,0)</f>
        <v>0</v>
      </c>
      <c r="BB15" s="6">
        <f>BA15*3</f>
        <v>0</v>
      </c>
      <c r="BC15">
        <f>DATA!C47</f>
        <v>465</v>
      </c>
      <c r="BD15" s="35">
        <f>BB15/DATA!C47</f>
        <v>0</v>
      </c>
    </row>
    <row r="16" spans="2:56">
      <c r="F16" s="5"/>
      <c r="G16" s="1"/>
      <c r="H16" s="1"/>
      <c r="I16" s="1"/>
      <c r="J16" s="1"/>
      <c r="K16" s="1"/>
      <c r="L16" s="1"/>
      <c r="M16" s="1"/>
      <c r="N16" s="1"/>
      <c r="O16" s="1"/>
      <c r="Y16" s="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</row>
    <row r="17" spans="2:63">
      <c r="F17" s="5"/>
      <c r="G17" s="1"/>
      <c r="H17" s="1"/>
      <c r="I17" s="1"/>
      <c r="J17" s="1"/>
      <c r="K17" s="1"/>
      <c r="L17" s="1"/>
      <c r="M17" s="1"/>
      <c r="N17" s="1"/>
      <c r="O17" s="1"/>
      <c r="Y17" s="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</row>
    <row r="18" spans="2:63">
      <c r="F18" s="5"/>
      <c r="G18" s="1"/>
      <c r="H18" s="1"/>
      <c r="I18" s="1" t="s">
        <v>154</v>
      </c>
      <c r="J18" s="1"/>
      <c r="K18" s="1"/>
      <c r="L18" s="1"/>
      <c r="M18" s="1"/>
      <c r="N18" s="1"/>
      <c r="O18" s="1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</row>
    <row r="19" spans="2:63">
      <c r="F19" s="5"/>
      <c r="G19" s="1"/>
      <c r="H19" s="1"/>
      <c r="I19" s="1"/>
      <c r="J19" s="1"/>
      <c r="K19" s="1"/>
      <c r="L19" s="1"/>
      <c r="M19" s="1"/>
      <c r="N19" s="1"/>
      <c r="O19" s="1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</row>
    <row r="20" spans="2:63" ht="16">
      <c r="B20" s="114" t="s">
        <v>21</v>
      </c>
      <c r="C20" s="114"/>
      <c r="D20" s="114"/>
      <c r="E20" s="114"/>
      <c r="F20" s="114"/>
      <c r="G20" s="1"/>
      <c r="H20" s="1"/>
      <c r="I20" s="1"/>
      <c r="J20" s="1"/>
      <c r="K20" s="1"/>
      <c r="L20" s="114" t="s">
        <v>30</v>
      </c>
      <c r="M20" s="114"/>
      <c r="N20" s="114"/>
      <c r="O20" s="114"/>
      <c r="P20" s="114"/>
      <c r="AD20" s="2" t="s">
        <v>19</v>
      </c>
      <c r="AE20" s="2" t="s">
        <v>11</v>
      </c>
      <c r="AF20" s="2" t="s">
        <v>0</v>
      </c>
      <c r="AG20" s="2" t="s">
        <v>1</v>
      </c>
      <c r="AH20" s="2" t="s">
        <v>2</v>
      </c>
      <c r="AI20" s="2" t="s">
        <v>45</v>
      </c>
      <c r="AJ20" s="2" t="s">
        <v>52</v>
      </c>
      <c r="AK20" s="2" t="s">
        <v>57</v>
      </c>
      <c r="AL20" s="2" t="s">
        <v>9</v>
      </c>
      <c r="AM20" s="2" t="s">
        <v>55</v>
      </c>
      <c r="AN20" s="2" t="s">
        <v>58</v>
      </c>
      <c r="AO20" s="2" t="s">
        <v>14</v>
      </c>
      <c r="AP20" s="2" t="s">
        <v>3</v>
      </c>
      <c r="AQ20" s="6" t="s">
        <v>4</v>
      </c>
    </row>
    <row r="21" spans="2:63">
      <c r="B21" s="115"/>
      <c r="C21" s="115"/>
      <c r="D21" s="115"/>
      <c r="E21" s="115"/>
      <c r="F21" s="115"/>
      <c r="G21" s="1"/>
      <c r="H21" s="1"/>
      <c r="I21" s="1"/>
      <c r="J21" s="1"/>
      <c r="K21" s="1"/>
      <c r="L21" s="115"/>
      <c r="M21" s="115"/>
      <c r="N21" s="115"/>
      <c r="O21" s="115"/>
      <c r="P21" s="115"/>
      <c r="AD21" s="17">
        <f>DATA!C9-(DATA!C12+4)</f>
        <v>156</v>
      </c>
      <c r="AE21" s="17">
        <f>DATA!C13+DATA!C15+DATA!C17+DATA!C19+DATA!C21*2+40</f>
        <v>274.10000000000002</v>
      </c>
      <c r="AF21" s="17">
        <f>DATA!C13+DATA!C15+DATA!C17+4</f>
        <v>222</v>
      </c>
      <c r="AG21" s="17">
        <f>DATA!C13+DATA!C15+4</f>
        <v>162</v>
      </c>
      <c r="AH21" s="17">
        <f>DATA!C13+4</f>
        <v>106</v>
      </c>
      <c r="AI21" s="17">
        <f>DATA!C9-(DATA!C14+4)</f>
        <v>166</v>
      </c>
      <c r="AJ21" s="17">
        <f>DATA!C9-(DATA!C16+4)</f>
        <v>206</v>
      </c>
      <c r="AK21" s="17">
        <f>DATA!C9-(DATA!C18+4)</f>
        <v>226</v>
      </c>
      <c r="AL21" s="17">
        <f>ROUNDUP(DATA!C15/4,0)</f>
        <v>14</v>
      </c>
      <c r="AM21" s="17">
        <f>ROUNDUP(DATA!C17/4,0)</f>
        <v>15</v>
      </c>
      <c r="AN21" s="18">
        <f>ROUNDUP(DATA!C19/4,0)</f>
        <v>1</v>
      </c>
      <c r="AO21" s="17">
        <f>(DATA!C10-DATA!C47)/2-8-2</f>
        <v>-1</v>
      </c>
      <c r="AP21" s="9">
        <v>4</v>
      </c>
      <c r="AQ21" s="7" t="s">
        <v>94</v>
      </c>
    </row>
    <row r="22" spans="2:63">
      <c r="B22" s="115"/>
      <c r="C22" s="115"/>
      <c r="D22" s="115"/>
      <c r="E22" s="115"/>
      <c r="F22" s="115"/>
      <c r="G22" s="1"/>
      <c r="H22" s="1"/>
      <c r="I22" s="1"/>
      <c r="J22" s="1"/>
      <c r="K22" s="1"/>
      <c r="L22" s="115"/>
      <c r="M22" s="115"/>
      <c r="N22" s="115"/>
      <c r="O22" s="115"/>
      <c r="P22" s="1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3"/>
      <c r="AZ22" s="10" t="s">
        <v>124</v>
      </c>
      <c r="BA22" s="10" t="s">
        <v>125</v>
      </c>
      <c r="BB22" s="10" t="s">
        <v>126</v>
      </c>
      <c r="BC22" s="10" t="s">
        <v>127</v>
      </c>
      <c r="BD22" s="10" t="s">
        <v>128</v>
      </c>
      <c r="BE22" s="10" t="s">
        <v>129</v>
      </c>
      <c r="BF22" s="10" t="s">
        <v>130</v>
      </c>
      <c r="BG22" s="10" t="s">
        <v>131</v>
      </c>
      <c r="BH22" s="10" t="s">
        <v>132</v>
      </c>
      <c r="BJ22" s="20" t="s">
        <v>133</v>
      </c>
      <c r="BK22" s="20" t="s">
        <v>134</v>
      </c>
    </row>
    <row r="23" spans="2:63">
      <c r="B23" s="115"/>
      <c r="C23" s="115"/>
      <c r="D23" s="115"/>
      <c r="E23" s="115"/>
      <c r="F23" s="115"/>
      <c r="G23" s="1"/>
      <c r="H23" s="1"/>
      <c r="I23" s="1"/>
      <c r="J23" s="1"/>
      <c r="K23" s="1"/>
      <c r="L23" s="115"/>
      <c r="M23" s="115"/>
      <c r="N23" s="115"/>
      <c r="O23" s="115"/>
      <c r="P23" s="11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5"/>
      <c r="AZ23" s="10"/>
      <c r="BA23" s="10"/>
      <c r="BB23" s="10"/>
      <c r="BC23" s="10"/>
      <c r="BD23" s="10"/>
      <c r="BE23" s="10"/>
      <c r="BF23" s="10"/>
      <c r="BG23" s="10"/>
      <c r="BH23" s="10"/>
      <c r="BJ23" s="20">
        <v>8</v>
      </c>
      <c r="BK23" s="20">
        <f>COUNTIF(BG24:BH27,8)</f>
        <v>2</v>
      </c>
    </row>
    <row r="24" spans="2:63">
      <c r="B24" s="115"/>
      <c r="C24" s="115"/>
      <c r="D24" s="115"/>
      <c r="E24" s="115"/>
      <c r="F24" s="115"/>
      <c r="G24" s="1"/>
      <c r="H24" s="1"/>
      <c r="I24" s="1"/>
      <c r="J24" s="1"/>
      <c r="K24" s="1"/>
      <c r="L24" s="115"/>
      <c r="M24" s="115"/>
      <c r="N24" s="115"/>
      <c r="O24" s="115"/>
      <c r="P24" s="115"/>
      <c r="AZ24" s="10">
        <f>(DATA!C12-DATA!C14)/2</f>
        <v>5</v>
      </c>
      <c r="BA24" s="10">
        <f>DATA!C15/2</f>
        <v>28</v>
      </c>
      <c r="BB24" s="10">
        <f>ATAN(AZ24/BA24)</f>
        <v>0.17670885607003661</v>
      </c>
      <c r="BC24" s="10">
        <f>SQRT(AZ24^2+BA24^2)</f>
        <v>28.442925306655784</v>
      </c>
      <c r="BD24" s="10">
        <f>AZ24*BA24/2</f>
        <v>70</v>
      </c>
      <c r="BE24" s="10">
        <f>(4*BD24/(AZ24+BA24+BC24)+1)</f>
        <v>5.5570746933442168</v>
      </c>
      <c r="BF24" s="10">
        <f>1+(4*BD24/(AZ24+BA24+BC24))*(((1-TAN(ATAN(BA24/AZ24)/4))/(1+TAN(ATAN(BA24/AZ24)/4)))^2)</f>
        <v>1.9937205782278891</v>
      </c>
      <c r="BG24" s="21" t="str">
        <f t="shared" ref="BG24:BH27" si="0">IF(ROUND(BE24/2,0)*2&gt;7,ROUND(BE24/2,0)*2,"N/A")</f>
        <v>N/A</v>
      </c>
      <c r="BH24" s="21" t="str">
        <f t="shared" si="0"/>
        <v>N/A</v>
      </c>
      <c r="BJ24" s="20">
        <v>10</v>
      </c>
      <c r="BK24" s="20">
        <f>COUNTIF(BG24:BH27,10)</f>
        <v>0</v>
      </c>
    </row>
    <row r="25" spans="2:63">
      <c r="B25" s="115"/>
      <c r="C25" s="115"/>
      <c r="D25" s="115"/>
      <c r="E25" s="115"/>
      <c r="F25" s="115"/>
      <c r="L25" s="115"/>
      <c r="M25" s="115"/>
      <c r="N25" s="115"/>
      <c r="O25" s="115"/>
      <c r="P25" s="115"/>
      <c r="AJ25" s="123" t="s">
        <v>113</v>
      </c>
      <c r="AK25" s="123"/>
      <c r="AL25" s="123"/>
      <c r="AM25" s="123"/>
      <c r="AN25" s="123"/>
      <c r="AO25" s="123"/>
      <c r="AP25" s="123"/>
      <c r="AQ25" s="123"/>
      <c r="AZ25" s="10">
        <f>(DATA!C14-DATA!C16)/2</f>
        <v>20</v>
      </c>
      <c r="BA25" s="10">
        <f>DATA!C17/2</f>
        <v>30</v>
      </c>
      <c r="BB25" s="10">
        <f>ATAN(AZ25/BA25)</f>
        <v>0.5880026035475675</v>
      </c>
      <c r="BC25" s="10">
        <f>SQRT(AZ25^2+BA25^2)</f>
        <v>36.055512754639892</v>
      </c>
      <c r="BD25" s="10">
        <f>AZ25*BA25/2</f>
        <v>300</v>
      </c>
      <c r="BE25" s="10">
        <f>(4*BD25/(AZ25+BA25+BC25)+1)</f>
        <v>14.944487245360108</v>
      </c>
      <c r="BF25" s="10">
        <f>1+(4*BD25/(AZ25+BA25+BC25))*(((1-TAN(ATAN(BA25/AZ25)/4))/(1+TAN(ATAN(BA25/AZ25)/4)))^2)</f>
        <v>6.0036557832133504</v>
      </c>
      <c r="BG25" s="21">
        <f t="shared" si="0"/>
        <v>14</v>
      </c>
      <c r="BH25" s="21" t="str">
        <f t="shared" si="0"/>
        <v>N/A</v>
      </c>
      <c r="BJ25" s="20">
        <v>12</v>
      </c>
      <c r="BK25" s="20">
        <f>COUNTIF(BG24:BH27,12)</f>
        <v>0</v>
      </c>
    </row>
    <row r="26" spans="2:63">
      <c r="B26" s="115"/>
      <c r="C26" s="115"/>
      <c r="D26" s="115"/>
      <c r="E26" s="115"/>
      <c r="F26" s="115"/>
      <c r="L26" s="115"/>
      <c r="M26" s="115"/>
      <c r="N26" s="115"/>
      <c r="O26" s="115"/>
      <c r="P26" s="115"/>
      <c r="AJ26" s="115"/>
      <c r="AK26" s="115"/>
      <c r="AL26" s="115"/>
      <c r="AM26" s="115"/>
      <c r="AN26" s="115"/>
      <c r="AO26" s="115"/>
      <c r="AP26" s="115"/>
      <c r="AQ26" s="115"/>
      <c r="AZ26" s="10">
        <f>(DATA!C16-DATA!C18)/2</f>
        <v>10</v>
      </c>
      <c r="BA26" s="10">
        <f>DATA!C19/2</f>
        <v>0.05</v>
      </c>
      <c r="BB26" s="10">
        <f>ATAN(AZ26/BA26)</f>
        <v>1.5657963684609384</v>
      </c>
      <c r="BC26" s="10">
        <f>SQRT(AZ26^2+BA26^2)</f>
        <v>10.000124999218759</v>
      </c>
      <c r="BD26" s="10">
        <f>AZ26*BA26/2</f>
        <v>0.25</v>
      </c>
      <c r="BE26" s="10">
        <f>(4*BD26/(AZ26+BA26+BC26)+1)</f>
        <v>1.0498750007812403</v>
      </c>
      <c r="BF26" s="10">
        <f>1+(4*BD26/(AZ26+BA26+BC26))*(((1-TAN(ATAN(BA26/AZ26)/4))/(1+TAN(ATAN(BA26/AZ26)/4)))^2)</f>
        <v>1.0496262499863442</v>
      </c>
      <c r="BG26" s="21" t="str">
        <f t="shared" si="0"/>
        <v>N/A</v>
      </c>
      <c r="BH26" s="21" t="str">
        <f t="shared" si="0"/>
        <v>N/A</v>
      </c>
    </row>
    <row r="27" spans="2:63">
      <c r="B27" s="115"/>
      <c r="C27" s="115"/>
      <c r="D27" s="115"/>
      <c r="E27" s="115"/>
      <c r="F27" s="115"/>
      <c r="L27" s="115"/>
      <c r="M27" s="115"/>
      <c r="N27" s="115"/>
      <c r="O27" s="115"/>
      <c r="P27" s="115"/>
      <c r="AJ27" s="115"/>
      <c r="AK27" s="115"/>
      <c r="AL27" s="115"/>
      <c r="AM27" s="115"/>
      <c r="AN27" s="115"/>
      <c r="AO27" s="115"/>
      <c r="AP27" s="115"/>
      <c r="AQ27" s="115"/>
      <c r="AZ27" s="10">
        <f>(DATA!C18-DATA!C20)/2</f>
        <v>45</v>
      </c>
      <c r="BA27" s="10">
        <f>DATA!C21</f>
        <v>8</v>
      </c>
      <c r="BB27" s="10">
        <f>ATAN(AZ27/BA27)</f>
        <v>1.3948567013423687</v>
      </c>
      <c r="BC27" s="10">
        <f>SQRT(AZ27^2+BA27^2)</f>
        <v>45.705579528105758</v>
      </c>
      <c r="BD27" s="10">
        <f>AZ27*BA27/2</f>
        <v>180</v>
      </c>
      <c r="BE27" s="10">
        <f>(4*BD27/(AZ27+BA27+BC27)+1)</f>
        <v>8.2944204718942434</v>
      </c>
      <c r="BF27" s="10">
        <f>1+(4*BD27/(AZ27+BA27+BC27))*(((1-TAN(ATAN(BA27/AZ27)/4))/(1+TAN(ATAN(BA27/AZ27)/4)))^2)</f>
        <v>7.1162107598929225</v>
      </c>
      <c r="BG27" s="21">
        <f t="shared" si="0"/>
        <v>8</v>
      </c>
      <c r="BH27" s="21">
        <f t="shared" si="0"/>
        <v>8</v>
      </c>
    </row>
    <row r="28" spans="2:63">
      <c r="B28" s="115"/>
      <c r="C28" s="115"/>
      <c r="D28" s="115"/>
      <c r="E28" s="115"/>
      <c r="F28" s="115"/>
      <c r="L28" s="115"/>
      <c r="M28" s="115"/>
      <c r="N28" s="115"/>
      <c r="O28" s="115"/>
      <c r="P28" s="115"/>
      <c r="AJ28" s="115"/>
      <c r="AK28" s="115"/>
      <c r="AL28" s="115"/>
      <c r="AM28" s="115"/>
      <c r="AN28" s="115"/>
      <c r="AO28" s="115"/>
      <c r="AP28" s="115"/>
      <c r="AQ28" s="115"/>
    </row>
    <row r="29" spans="2:63">
      <c r="B29" s="115"/>
      <c r="C29" s="115"/>
      <c r="D29" s="115"/>
      <c r="E29" s="115"/>
      <c r="F29" s="115"/>
      <c r="L29" s="115"/>
      <c r="M29" s="115"/>
      <c r="N29" s="115"/>
      <c r="O29" s="115"/>
      <c r="P29" s="115"/>
      <c r="AJ29" s="115"/>
      <c r="AK29" s="115"/>
      <c r="AL29" s="115"/>
      <c r="AM29" s="115"/>
      <c r="AN29" s="115"/>
      <c r="AO29" s="115"/>
      <c r="AP29" s="115"/>
      <c r="AQ29" s="115"/>
    </row>
    <row r="30" spans="2:63">
      <c r="B30" s="2" t="s">
        <v>0</v>
      </c>
      <c r="C30" s="2" t="s">
        <v>1</v>
      </c>
      <c r="D30" s="2" t="s">
        <v>2</v>
      </c>
      <c r="E30" s="2" t="s">
        <v>3</v>
      </c>
      <c r="F30" s="6" t="s">
        <v>4</v>
      </c>
      <c r="L30" s="120" t="s">
        <v>24</v>
      </c>
      <c r="M30" s="121"/>
      <c r="N30" s="122"/>
      <c r="O30" s="2" t="s">
        <v>3</v>
      </c>
      <c r="P30" s="6" t="s">
        <v>4</v>
      </c>
      <c r="AJ30" s="115"/>
      <c r="AK30" s="115"/>
      <c r="AL30" s="115"/>
      <c r="AM30" s="115"/>
      <c r="AN30" s="115"/>
      <c r="AO30" s="115"/>
      <c r="AP30" s="115"/>
      <c r="AQ30" s="115"/>
    </row>
    <row r="31" spans="2:63">
      <c r="B31" s="9"/>
      <c r="C31" s="9"/>
      <c r="D31" s="9"/>
      <c r="E31" s="9"/>
      <c r="F31" s="7"/>
      <c r="L31" s="120" t="s">
        <v>109</v>
      </c>
      <c r="M31" s="121"/>
      <c r="N31" s="122"/>
      <c r="O31" s="2">
        <v>2</v>
      </c>
      <c r="P31" s="6" t="s">
        <v>111</v>
      </c>
      <c r="AJ31" s="115"/>
      <c r="AK31" s="115"/>
      <c r="AL31" s="115"/>
      <c r="AM31" s="115"/>
      <c r="AN31" s="115"/>
      <c r="AO31" s="115"/>
      <c r="AP31" s="115"/>
      <c r="AQ31" s="115"/>
    </row>
    <row r="32" spans="2:63">
      <c r="B32" s="12"/>
      <c r="C32" s="12"/>
      <c r="D32" s="12"/>
      <c r="E32" s="12"/>
      <c r="F32" s="13"/>
      <c r="AJ32" s="115"/>
      <c r="AK32" s="115"/>
      <c r="AL32" s="115"/>
      <c r="AM32" s="115"/>
      <c r="AN32" s="115"/>
      <c r="AO32" s="115"/>
      <c r="AP32" s="115"/>
      <c r="AQ32" s="115"/>
    </row>
    <row r="33" spans="2:43">
      <c r="B33" s="3"/>
      <c r="C33" s="3"/>
      <c r="D33" s="3"/>
      <c r="E33" s="3"/>
      <c r="F33" s="5"/>
      <c r="AJ33" s="115"/>
      <c r="AK33" s="115"/>
      <c r="AL33" s="115"/>
      <c r="AM33" s="115"/>
      <c r="AN33" s="115"/>
      <c r="AO33" s="115"/>
      <c r="AP33" s="115"/>
      <c r="AQ33" s="115"/>
    </row>
    <row r="34" spans="2:43">
      <c r="AJ34" s="115"/>
      <c r="AK34" s="115"/>
      <c r="AL34" s="115"/>
      <c r="AM34" s="115"/>
      <c r="AN34" s="115"/>
      <c r="AO34" s="115"/>
      <c r="AP34" s="115"/>
      <c r="AQ34" s="115"/>
    </row>
    <row r="35" spans="2:43">
      <c r="AJ35" s="6" t="s">
        <v>19</v>
      </c>
      <c r="AK35" s="6" t="s">
        <v>11</v>
      </c>
      <c r="AL35" s="6" t="s">
        <v>10</v>
      </c>
      <c r="AM35" s="6" t="s">
        <v>0</v>
      </c>
      <c r="AN35" s="6" t="s">
        <v>1</v>
      </c>
      <c r="AO35" s="6" t="s">
        <v>2</v>
      </c>
      <c r="AP35" s="6" t="s">
        <v>3</v>
      </c>
      <c r="AQ35" s="6" t="s">
        <v>4</v>
      </c>
    </row>
    <row r="36" spans="2:43" ht="16">
      <c r="B36" s="114" t="s">
        <v>112</v>
      </c>
      <c r="C36" s="114"/>
      <c r="D36" s="114"/>
      <c r="E36" s="114"/>
      <c r="F36" s="114"/>
      <c r="G36" t="s">
        <v>138</v>
      </c>
      <c r="L36" s="114" t="s">
        <v>135</v>
      </c>
      <c r="M36" s="114"/>
      <c r="N36" s="114"/>
      <c r="O36" s="114"/>
      <c r="P36" s="114"/>
      <c r="AJ36" s="6">
        <f>(DATA!C9-DATA!C12)/2-10</f>
        <v>70</v>
      </c>
      <c r="AK36" s="6">
        <f>AN36*2+AO36</f>
        <v>92</v>
      </c>
      <c r="AL36" s="6">
        <f>(DATA!C10-DATA!C47)/2+AM36</f>
        <v>29</v>
      </c>
      <c r="AM36" s="6">
        <v>20</v>
      </c>
      <c r="AN36" s="6">
        <v>15</v>
      </c>
      <c r="AO36" s="6">
        <f>DATA!C53+2</f>
        <v>62</v>
      </c>
      <c r="AP36" s="6">
        <v>4</v>
      </c>
      <c r="AQ36" s="6" t="s">
        <v>102</v>
      </c>
    </row>
    <row r="37" spans="2:43">
      <c r="B37" s="115"/>
      <c r="C37" s="115"/>
      <c r="D37" s="115"/>
      <c r="E37" s="115"/>
      <c r="F37" s="115"/>
      <c r="L37" s="115"/>
      <c r="M37" s="115"/>
      <c r="N37" s="115"/>
      <c r="O37" s="115"/>
      <c r="P37" s="115"/>
    </row>
    <row r="38" spans="2:43">
      <c r="B38" s="115"/>
      <c r="C38" s="115"/>
      <c r="D38" s="115"/>
      <c r="E38" s="115"/>
      <c r="F38" s="115"/>
      <c r="L38" s="115"/>
      <c r="M38" s="115"/>
      <c r="N38" s="115"/>
      <c r="O38" s="115"/>
      <c r="P38" s="115"/>
    </row>
    <row r="39" spans="2:43">
      <c r="B39" s="115"/>
      <c r="C39" s="115"/>
      <c r="D39" s="115"/>
      <c r="E39" s="115"/>
      <c r="F39" s="115"/>
      <c r="L39" s="115"/>
      <c r="M39" s="115"/>
      <c r="N39" s="115"/>
      <c r="O39" s="115"/>
      <c r="P39" s="115"/>
    </row>
    <row r="40" spans="2:43">
      <c r="B40" s="115"/>
      <c r="C40" s="115"/>
      <c r="D40" s="115"/>
      <c r="E40" s="115"/>
      <c r="F40" s="115"/>
      <c r="L40" s="115"/>
      <c r="M40" s="115"/>
      <c r="N40" s="115"/>
      <c r="O40" s="115"/>
      <c r="P40" s="115"/>
    </row>
    <row r="41" spans="2:43">
      <c r="B41" s="115"/>
      <c r="C41" s="115"/>
      <c r="D41" s="115"/>
      <c r="E41" s="115"/>
      <c r="F41" s="115"/>
      <c r="L41" s="115"/>
      <c r="M41" s="115"/>
      <c r="N41" s="115"/>
      <c r="O41" s="115"/>
      <c r="P41" s="115"/>
    </row>
    <row r="42" spans="2:43">
      <c r="B42" s="115"/>
      <c r="C42" s="115"/>
      <c r="D42" s="115"/>
      <c r="E42" s="115"/>
      <c r="F42" s="115"/>
      <c r="L42" s="115"/>
      <c r="M42" s="115"/>
      <c r="N42" s="115"/>
      <c r="O42" s="115"/>
      <c r="P42" s="115"/>
    </row>
    <row r="43" spans="2:43">
      <c r="B43" s="115"/>
      <c r="C43" s="115"/>
      <c r="D43" s="115"/>
      <c r="E43" s="115"/>
      <c r="F43" s="115"/>
      <c r="L43" s="115"/>
      <c r="M43" s="115"/>
      <c r="N43" s="115"/>
      <c r="O43" s="115"/>
      <c r="P43" s="115"/>
    </row>
    <row r="44" spans="2:43" ht="16">
      <c r="B44" s="115"/>
      <c r="C44" s="115"/>
      <c r="D44" s="115"/>
      <c r="E44" s="115"/>
      <c r="F44" s="115"/>
      <c r="L44" s="115"/>
      <c r="M44" s="115"/>
      <c r="N44" s="115"/>
      <c r="O44" s="115"/>
      <c r="P44" s="115"/>
      <c r="AD44" s="114" t="s">
        <v>116</v>
      </c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</row>
    <row r="45" spans="2:43">
      <c r="B45" s="115"/>
      <c r="C45" s="115"/>
      <c r="D45" s="115"/>
      <c r="E45" s="115"/>
      <c r="F45" s="115"/>
      <c r="L45" s="115"/>
      <c r="M45" s="115"/>
      <c r="N45" s="115"/>
      <c r="O45" s="115"/>
      <c r="P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</row>
    <row r="46" spans="2:43">
      <c r="B46" s="2" t="s">
        <v>0</v>
      </c>
      <c r="C46" s="2" t="s">
        <v>1</v>
      </c>
      <c r="D46" s="2" t="s">
        <v>2</v>
      </c>
      <c r="E46" s="2" t="s">
        <v>3</v>
      </c>
      <c r="F46" s="6" t="s">
        <v>4</v>
      </c>
      <c r="L46" s="120" t="s">
        <v>24</v>
      </c>
      <c r="M46" s="121"/>
      <c r="N46" s="122"/>
      <c r="O46" s="2" t="s">
        <v>3</v>
      </c>
      <c r="P46" s="6" t="s">
        <v>4</v>
      </c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</row>
    <row r="47" spans="2:43">
      <c r="B47" s="2">
        <f>DATA!C47</f>
        <v>465</v>
      </c>
      <c r="C47" s="18">
        <f>DATA!C20-10</f>
        <v>-10</v>
      </c>
      <c r="D47" s="2">
        <v>2</v>
      </c>
      <c r="E47" s="2">
        <v>12</v>
      </c>
      <c r="F47" s="6" t="s">
        <v>94</v>
      </c>
      <c r="K47" s="8"/>
      <c r="L47" s="120" t="s">
        <v>109</v>
      </c>
      <c r="M47" s="121"/>
      <c r="N47" s="122"/>
      <c r="O47" s="2">
        <v>2</v>
      </c>
      <c r="P47" s="6" t="s">
        <v>94</v>
      </c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</row>
    <row r="48" spans="2:43">
      <c r="B48" s="3"/>
      <c r="C48" s="3"/>
      <c r="D48" s="3"/>
      <c r="E48" s="3"/>
      <c r="F48" s="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</row>
    <row r="49" spans="2:43">
      <c r="B49" s="3"/>
      <c r="C49" s="3"/>
      <c r="D49" s="3"/>
      <c r="E49" s="3"/>
      <c r="F49" s="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</row>
    <row r="50" spans="2:43"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</row>
    <row r="51" spans="2:43"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</row>
    <row r="52" spans="2:43" ht="16">
      <c r="B52" s="114" t="s">
        <v>28</v>
      </c>
      <c r="C52" s="114"/>
      <c r="D52" s="114"/>
      <c r="E52" s="114"/>
      <c r="F52" s="114"/>
      <c r="L52" s="114" t="s">
        <v>31</v>
      </c>
      <c r="M52" s="114"/>
      <c r="N52" s="114"/>
      <c r="O52" s="114"/>
      <c r="P52" s="114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</row>
    <row r="53" spans="2:43">
      <c r="B53" s="115"/>
      <c r="C53" s="115"/>
      <c r="D53" s="115"/>
      <c r="E53" s="115"/>
      <c r="F53" s="115"/>
      <c r="L53" s="115"/>
      <c r="M53" s="115"/>
      <c r="N53" s="115"/>
      <c r="O53" s="115"/>
      <c r="P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</row>
    <row r="54" spans="2:43">
      <c r="B54" s="115"/>
      <c r="C54" s="115"/>
      <c r="D54" s="115"/>
      <c r="E54" s="115"/>
      <c r="F54" s="115"/>
      <c r="L54" s="115"/>
      <c r="M54" s="115"/>
      <c r="N54" s="115"/>
      <c r="O54" s="115"/>
      <c r="P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</row>
    <row r="55" spans="2:43">
      <c r="B55" s="115"/>
      <c r="C55" s="115"/>
      <c r="D55" s="115"/>
      <c r="E55" s="115"/>
      <c r="F55" s="115"/>
      <c r="L55" s="115"/>
      <c r="M55" s="115"/>
      <c r="N55" s="115"/>
      <c r="O55" s="115"/>
      <c r="P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</row>
    <row r="56" spans="2:43">
      <c r="B56" s="115"/>
      <c r="C56" s="115"/>
      <c r="D56" s="115"/>
      <c r="E56" s="115"/>
      <c r="F56" s="115"/>
      <c r="L56" s="115"/>
      <c r="M56" s="115"/>
      <c r="N56" s="115"/>
      <c r="O56" s="115"/>
      <c r="P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</row>
    <row r="57" spans="2:43">
      <c r="B57" s="115"/>
      <c r="C57" s="115"/>
      <c r="D57" s="115"/>
      <c r="E57" s="115"/>
      <c r="F57" s="115"/>
      <c r="L57" s="115"/>
      <c r="M57" s="115"/>
      <c r="N57" s="115"/>
      <c r="O57" s="115"/>
      <c r="P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</row>
    <row r="58" spans="2:43">
      <c r="B58" s="115"/>
      <c r="C58" s="115"/>
      <c r="D58" s="115"/>
      <c r="E58" s="115"/>
      <c r="F58" s="115"/>
      <c r="L58" s="115"/>
      <c r="M58" s="115"/>
      <c r="N58" s="115"/>
      <c r="O58" s="115"/>
      <c r="P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</row>
    <row r="59" spans="2:43">
      <c r="B59" s="115"/>
      <c r="C59" s="115"/>
      <c r="D59" s="115"/>
      <c r="E59" s="115"/>
      <c r="F59" s="115"/>
      <c r="L59" s="115"/>
      <c r="M59" s="115"/>
      <c r="N59" s="115"/>
      <c r="O59" s="115"/>
      <c r="P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</row>
    <row r="60" spans="2:43">
      <c r="B60" s="115"/>
      <c r="C60" s="115"/>
      <c r="D60" s="115"/>
      <c r="E60" s="115"/>
      <c r="F60" s="115"/>
      <c r="L60" s="115"/>
      <c r="M60" s="115"/>
      <c r="N60" s="115"/>
      <c r="O60" s="115"/>
      <c r="P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</row>
    <row r="61" spans="2:43">
      <c r="B61" s="115"/>
      <c r="C61" s="115"/>
      <c r="D61" s="115"/>
      <c r="E61" s="115"/>
      <c r="F61" s="115"/>
      <c r="L61" s="115"/>
      <c r="M61" s="115"/>
      <c r="N61" s="115"/>
      <c r="O61" s="115"/>
      <c r="P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</row>
    <row r="62" spans="2:43">
      <c r="B62" s="2" t="s">
        <v>0</v>
      </c>
      <c r="C62" s="2" t="s">
        <v>1</v>
      </c>
      <c r="D62" s="2" t="s">
        <v>2</v>
      </c>
      <c r="E62" s="2" t="s">
        <v>3</v>
      </c>
      <c r="F62" s="6" t="s">
        <v>4</v>
      </c>
      <c r="L62" s="120" t="s">
        <v>24</v>
      </c>
      <c r="M62" s="121"/>
      <c r="N62" s="122"/>
      <c r="O62" s="2" t="s">
        <v>3</v>
      </c>
      <c r="P62" s="6" t="s">
        <v>4</v>
      </c>
      <c r="AD62" s="2" t="s">
        <v>19</v>
      </c>
      <c r="AE62" s="2" t="s">
        <v>11</v>
      </c>
      <c r="AF62" s="2" t="s">
        <v>0</v>
      </c>
      <c r="AG62" s="2" t="s">
        <v>1</v>
      </c>
      <c r="AH62" s="2" t="s">
        <v>2</v>
      </c>
      <c r="AI62" s="2" t="s">
        <v>45</v>
      </c>
      <c r="AJ62" s="2" t="s">
        <v>52</v>
      </c>
      <c r="AK62" s="2" t="s">
        <v>57</v>
      </c>
      <c r="AL62" s="2" t="s">
        <v>9</v>
      </c>
      <c r="AM62" s="2" t="s">
        <v>55</v>
      </c>
      <c r="AN62" s="2" t="s">
        <v>58</v>
      </c>
      <c r="AO62" s="2" t="s">
        <v>14</v>
      </c>
      <c r="AP62" s="2" t="s">
        <v>3</v>
      </c>
      <c r="AQ62" s="6" t="s">
        <v>4</v>
      </c>
    </row>
    <row r="63" spans="2:43">
      <c r="B63" s="2">
        <f>DATA!C47+10</f>
        <v>475</v>
      </c>
      <c r="C63" s="2">
        <f>DATA!C12+2*(DATA!C27+DATA!P12+DATA!C38+DATA!P14)+20</f>
        <v>331.8</v>
      </c>
      <c r="D63" s="2">
        <v>2</v>
      </c>
      <c r="E63" s="2">
        <f>IF(DATA!C6&gt;15,4,2)</f>
        <v>4</v>
      </c>
      <c r="F63" s="6" t="s">
        <v>94</v>
      </c>
      <c r="L63" s="120" t="s">
        <v>109</v>
      </c>
      <c r="M63" s="121"/>
      <c r="N63" s="122"/>
      <c r="O63" s="2">
        <v>2</v>
      </c>
      <c r="P63" s="6" t="s">
        <v>94</v>
      </c>
      <c r="AD63" s="16">
        <f>(DATA!C9-(DATA!C12+4))/2</f>
        <v>78</v>
      </c>
      <c r="AE63" s="18">
        <f>DATA!C13+DATA!C15+DATA!C17+DATA!C19+DATA!C21*2+40</f>
        <v>274.10000000000002</v>
      </c>
      <c r="AF63" s="18">
        <f>DATA!C13+DATA!C15+DATA!C17+4</f>
        <v>222</v>
      </c>
      <c r="AG63" s="18">
        <f>DATA!C13+DATA!C15+4</f>
        <v>162</v>
      </c>
      <c r="AH63" s="18">
        <f>DATA!C13+4</f>
        <v>106</v>
      </c>
      <c r="AI63" s="16">
        <f>(DATA!C9-(DATA!C14+4))/2-9</f>
        <v>74</v>
      </c>
      <c r="AJ63" s="16">
        <f>(DATA!C9-(DATA!C16+4))/2-9</f>
        <v>94</v>
      </c>
      <c r="AK63" s="16">
        <f>(DATA!C9-(DATA!C18+4))/2-9</f>
        <v>104</v>
      </c>
      <c r="AL63" s="18">
        <f>ROUNDUP(DATA!C15/2,0)</f>
        <v>28</v>
      </c>
      <c r="AM63" s="18">
        <f>ROUNDUP(DATA!C17/2,0)</f>
        <v>30</v>
      </c>
      <c r="AN63" s="18">
        <f>ROUNDUP(DATA!C19/2,0)</f>
        <v>1</v>
      </c>
      <c r="AO63" s="18">
        <f>(DATA!C10-DATA!C47)/2-8-2</f>
        <v>-1</v>
      </c>
      <c r="AP63" s="2">
        <v>4</v>
      </c>
      <c r="AQ63" s="6" t="s">
        <v>94</v>
      </c>
    </row>
    <row r="64" spans="2:43">
      <c r="B64" s="3"/>
      <c r="C64" s="3"/>
      <c r="D64" s="3"/>
      <c r="E64" s="3"/>
      <c r="F64" s="5"/>
    </row>
    <row r="65" spans="2:16">
      <c r="B65" s="3"/>
      <c r="C65" s="3"/>
      <c r="D65" s="3"/>
      <c r="E65" s="3"/>
      <c r="F65" s="5"/>
    </row>
    <row r="67" spans="2:16" ht="16">
      <c r="B67" s="114" t="s">
        <v>21</v>
      </c>
      <c r="C67" s="114"/>
      <c r="D67" s="114"/>
      <c r="E67" s="114"/>
      <c r="F67" s="114"/>
      <c r="L67" s="114" t="s">
        <v>49</v>
      </c>
      <c r="M67" s="114"/>
      <c r="N67" s="114"/>
      <c r="O67" s="114"/>
      <c r="P67" s="114"/>
    </row>
    <row r="68" spans="2:16">
      <c r="B68" s="115"/>
      <c r="C68" s="115"/>
      <c r="D68" s="115"/>
      <c r="E68" s="115"/>
      <c r="F68" s="115"/>
      <c r="L68" s="115"/>
      <c r="M68" s="115"/>
      <c r="N68" s="115"/>
      <c r="O68" s="115"/>
      <c r="P68" s="115"/>
    </row>
    <row r="69" spans="2:16">
      <c r="B69" s="115"/>
      <c r="C69" s="115"/>
      <c r="D69" s="115"/>
      <c r="E69" s="115"/>
      <c r="F69" s="115"/>
      <c r="L69" s="115"/>
      <c r="M69" s="115"/>
      <c r="N69" s="115"/>
      <c r="O69" s="115"/>
      <c r="P69" s="115"/>
    </row>
    <row r="70" spans="2:16">
      <c r="B70" s="115"/>
      <c r="C70" s="115"/>
      <c r="D70" s="115"/>
      <c r="E70" s="115"/>
      <c r="F70" s="115"/>
      <c r="L70" s="115"/>
      <c r="M70" s="115"/>
      <c r="N70" s="115"/>
      <c r="O70" s="115"/>
      <c r="P70" s="115"/>
    </row>
    <row r="71" spans="2:16">
      <c r="B71" s="115"/>
      <c r="C71" s="115"/>
      <c r="D71" s="115"/>
      <c r="E71" s="115"/>
      <c r="F71" s="115"/>
      <c r="L71" s="115"/>
      <c r="M71" s="115"/>
      <c r="N71" s="115"/>
      <c r="O71" s="115"/>
      <c r="P71" s="115"/>
    </row>
    <row r="72" spans="2:16">
      <c r="B72" s="115"/>
      <c r="C72" s="115"/>
      <c r="D72" s="115"/>
      <c r="E72" s="115"/>
      <c r="F72" s="115"/>
      <c r="L72" s="115"/>
      <c r="M72" s="115"/>
      <c r="N72" s="115"/>
      <c r="O72" s="115"/>
      <c r="P72" s="115"/>
    </row>
    <row r="73" spans="2:16">
      <c r="B73" s="115"/>
      <c r="C73" s="115"/>
      <c r="D73" s="115"/>
      <c r="E73" s="115"/>
      <c r="F73" s="115"/>
      <c r="L73" s="115"/>
      <c r="M73" s="115"/>
      <c r="N73" s="115"/>
      <c r="O73" s="115"/>
      <c r="P73" s="115"/>
    </row>
    <row r="74" spans="2:16">
      <c r="B74" s="115"/>
      <c r="C74" s="115"/>
      <c r="D74" s="115"/>
      <c r="E74" s="115"/>
      <c r="F74" s="115"/>
      <c r="L74" s="115"/>
      <c r="M74" s="115"/>
      <c r="N74" s="115"/>
      <c r="O74" s="115"/>
      <c r="P74" s="115"/>
    </row>
    <row r="75" spans="2:16">
      <c r="B75" s="115"/>
      <c r="C75" s="115"/>
      <c r="D75" s="115"/>
      <c r="E75" s="115"/>
      <c r="F75" s="115"/>
      <c r="L75" s="115"/>
      <c r="M75" s="115"/>
      <c r="N75" s="115"/>
      <c r="O75" s="115"/>
      <c r="P75" s="115"/>
    </row>
    <row r="76" spans="2:16">
      <c r="B76" s="115"/>
      <c r="C76" s="115"/>
      <c r="D76" s="115"/>
      <c r="E76" s="115"/>
      <c r="F76" s="115"/>
      <c r="L76" s="115"/>
      <c r="M76" s="115"/>
      <c r="N76" s="115"/>
      <c r="O76" s="115"/>
      <c r="P76" s="115"/>
    </row>
    <row r="77" spans="2:16">
      <c r="B77" s="2" t="s">
        <v>0</v>
      </c>
      <c r="C77" s="2" t="s">
        <v>1</v>
      </c>
      <c r="D77" s="2" t="s">
        <v>2</v>
      </c>
      <c r="E77" s="2" t="s">
        <v>3</v>
      </c>
      <c r="F77" s="6" t="s">
        <v>4</v>
      </c>
      <c r="L77" s="120" t="s">
        <v>24</v>
      </c>
      <c r="M77" s="121"/>
      <c r="N77" s="122"/>
      <c r="O77" s="2" t="s">
        <v>3</v>
      </c>
      <c r="P77" s="6" t="s">
        <v>4</v>
      </c>
    </row>
    <row r="78" spans="2:16">
      <c r="B78" s="2">
        <f>DATA!C13+DATA!C15+DATA!C17+DATA!C19+DATA!C21+DATA!C22+40</f>
        <v>272.10000000000002</v>
      </c>
      <c r="C78" s="2">
        <v>60</v>
      </c>
      <c r="D78" s="2">
        <f>DATA!C12-DATA!C52</f>
        <v>-20</v>
      </c>
      <c r="E78" s="2">
        <v>2</v>
      </c>
      <c r="F78" s="6" t="s">
        <v>102</v>
      </c>
      <c r="L78" s="120" t="s">
        <v>109</v>
      </c>
      <c r="M78" s="121"/>
      <c r="N78" s="122"/>
      <c r="O78" s="2">
        <v>4</v>
      </c>
      <c r="P78" s="6" t="s">
        <v>94</v>
      </c>
    </row>
    <row r="82" spans="2:16" ht="16">
      <c r="B82" s="125" t="s">
        <v>156</v>
      </c>
      <c r="C82" s="125"/>
      <c r="D82" s="125"/>
      <c r="E82" s="125"/>
      <c r="F82" s="125"/>
      <c r="L82" s="114" t="s">
        <v>50</v>
      </c>
      <c r="M82" s="114"/>
      <c r="N82" s="114"/>
      <c r="O82" s="114"/>
      <c r="P82" s="114"/>
    </row>
    <row r="83" spans="2:16">
      <c r="B83" s="37">
        <f>DATA!C10+DATA!C12</f>
        <v>643</v>
      </c>
      <c r="L83" s="115"/>
      <c r="M83" s="115"/>
      <c r="N83" s="115"/>
      <c r="O83" s="115"/>
      <c r="P83" s="115"/>
    </row>
    <row r="84" spans="2:16">
      <c r="L84" s="115"/>
      <c r="M84" s="115"/>
      <c r="N84" s="115"/>
      <c r="O84" s="115"/>
      <c r="P84" s="115"/>
    </row>
    <row r="85" spans="2:16">
      <c r="L85" s="115"/>
      <c r="M85" s="115"/>
      <c r="N85" s="115"/>
      <c r="O85" s="115"/>
      <c r="P85" s="115"/>
    </row>
    <row r="86" spans="2:16">
      <c r="L86" s="115"/>
      <c r="M86" s="115"/>
      <c r="N86" s="115"/>
      <c r="O86" s="115"/>
      <c r="P86" s="115"/>
    </row>
    <row r="87" spans="2:16">
      <c r="L87" s="115"/>
      <c r="M87" s="115"/>
      <c r="N87" s="115"/>
      <c r="O87" s="115"/>
      <c r="P87" s="115"/>
    </row>
    <row r="88" spans="2:16">
      <c r="L88" s="115"/>
      <c r="M88" s="115"/>
      <c r="N88" s="115"/>
      <c r="O88" s="115"/>
      <c r="P88" s="115"/>
    </row>
    <row r="89" spans="2:16">
      <c r="L89" s="115"/>
      <c r="M89" s="115"/>
      <c r="N89" s="115"/>
      <c r="O89" s="115"/>
      <c r="P89" s="115"/>
    </row>
    <row r="90" spans="2:16">
      <c r="L90" s="115"/>
      <c r="M90" s="115"/>
      <c r="N90" s="115"/>
      <c r="O90" s="115"/>
      <c r="P90" s="115"/>
    </row>
    <row r="91" spans="2:16">
      <c r="L91" s="115"/>
      <c r="M91" s="115"/>
      <c r="N91" s="115"/>
      <c r="O91" s="115"/>
      <c r="P91" s="115"/>
    </row>
    <row r="92" spans="2:16">
      <c r="L92" s="120" t="s">
        <v>24</v>
      </c>
      <c r="M92" s="121"/>
      <c r="N92" s="122"/>
      <c r="O92" s="2" t="s">
        <v>3</v>
      </c>
      <c r="P92" s="6" t="s">
        <v>4</v>
      </c>
    </row>
    <row r="93" spans="2:16">
      <c r="L93" s="120" t="s">
        <v>109</v>
      </c>
      <c r="M93" s="121"/>
      <c r="N93" s="122"/>
      <c r="O93" s="2">
        <v>6</v>
      </c>
      <c r="P93" s="6" t="s">
        <v>94</v>
      </c>
    </row>
    <row r="97" spans="12:16" ht="16">
      <c r="L97" s="114" t="s">
        <v>51</v>
      </c>
      <c r="M97" s="114"/>
      <c r="N97" s="114"/>
      <c r="O97" s="114"/>
      <c r="P97" s="114"/>
    </row>
    <row r="98" spans="12:16">
      <c r="L98" s="115"/>
      <c r="M98" s="115"/>
      <c r="N98" s="115"/>
      <c r="O98" s="115"/>
      <c r="P98" s="115"/>
    </row>
    <row r="99" spans="12:16">
      <c r="L99" s="115"/>
      <c r="M99" s="115"/>
      <c r="N99" s="115"/>
      <c r="O99" s="115"/>
      <c r="P99" s="115"/>
    </row>
    <row r="100" spans="12:16">
      <c r="L100" s="115"/>
      <c r="M100" s="115"/>
      <c r="N100" s="115"/>
      <c r="O100" s="115"/>
      <c r="P100" s="115"/>
    </row>
    <row r="101" spans="12:16">
      <c r="L101" s="115"/>
      <c r="M101" s="115"/>
      <c r="N101" s="115"/>
      <c r="O101" s="115"/>
      <c r="P101" s="115"/>
    </row>
    <row r="102" spans="12:16">
      <c r="L102" s="115"/>
      <c r="M102" s="115"/>
      <c r="N102" s="115"/>
      <c r="O102" s="115"/>
      <c r="P102" s="115"/>
    </row>
    <row r="103" spans="12:16">
      <c r="L103" s="115"/>
      <c r="M103" s="115"/>
      <c r="N103" s="115"/>
      <c r="O103" s="115"/>
      <c r="P103" s="115"/>
    </row>
    <row r="104" spans="12:16">
      <c r="L104" s="115"/>
      <c r="M104" s="115"/>
      <c r="N104" s="115"/>
      <c r="O104" s="115"/>
      <c r="P104" s="115"/>
    </row>
    <row r="105" spans="12:16">
      <c r="L105" s="115"/>
      <c r="M105" s="115"/>
      <c r="N105" s="115"/>
      <c r="O105" s="115"/>
      <c r="P105" s="115"/>
    </row>
    <row r="106" spans="12:16">
      <c r="L106" s="115"/>
      <c r="M106" s="115"/>
      <c r="N106" s="115"/>
      <c r="O106" s="115"/>
      <c r="P106" s="115"/>
    </row>
    <row r="107" spans="12:16">
      <c r="L107" s="120" t="s">
        <v>24</v>
      </c>
      <c r="M107" s="121"/>
      <c r="N107" s="122"/>
      <c r="O107" s="2" t="s">
        <v>3</v>
      </c>
      <c r="P107" s="6" t="s">
        <v>4</v>
      </c>
    </row>
    <row r="108" spans="12:16">
      <c r="L108" s="120" t="s">
        <v>109</v>
      </c>
      <c r="M108" s="121"/>
      <c r="N108" s="122"/>
      <c r="O108" s="2">
        <v>4</v>
      </c>
      <c r="P108" s="6" t="s">
        <v>102</v>
      </c>
    </row>
  </sheetData>
  <mergeCells count="49">
    <mergeCell ref="B82:F82"/>
    <mergeCell ref="B68:F76"/>
    <mergeCell ref="L62:N62"/>
    <mergeCell ref="L63:N63"/>
    <mergeCell ref="L47:N47"/>
    <mergeCell ref="L52:P52"/>
    <mergeCell ref="L53:P61"/>
    <mergeCell ref="AD44:AQ44"/>
    <mergeCell ref="AD45:AQ61"/>
    <mergeCell ref="B67:F67"/>
    <mergeCell ref="L36:P36"/>
    <mergeCell ref="L37:P45"/>
    <mergeCell ref="L46:N46"/>
    <mergeCell ref="B53:F61"/>
    <mergeCell ref="B36:F36"/>
    <mergeCell ref="B37:F45"/>
    <mergeCell ref="B52:F52"/>
    <mergeCell ref="AJ26:AQ34"/>
    <mergeCell ref="B20:F20"/>
    <mergeCell ref="B21:F29"/>
    <mergeCell ref="T2:Y2"/>
    <mergeCell ref="B2:F2"/>
    <mergeCell ref="L2:P2"/>
    <mergeCell ref="B3:F11"/>
    <mergeCell ref="L3:P11"/>
    <mergeCell ref="T3:Y11"/>
    <mergeCell ref="L30:N30"/>
    <mergeCell ref="L31:N31"/>
    <mergeCell ref="AZ2:BB2"/>
    <mergeCell ref="AZ3:BB11"/>
    <mergeCell ref="L13:N13"/>
    <mergeCell ref="L12:N12"/>
    <mergeCell ref="L20:P20"/>
    <mergeCell ref="L107:N107"/>
    <mergeCell ref="L108:N108"/>
    <mergeCell ref="AD2:AQ2"/>
    <mergeCell ref="AD3:AQ19"/>
    <mergeCell ref="L83:P91"/>
    <mergeCell ref="L92:N92"/>
    <mergeCell ref="L93:N93"/>
    <mergeCell ref="L97:P97"/>
    <mergeCell ref="L98:P106"/>
    <mergeCell ref="L67:P67"/>
    <mergeCell ref="L68:P76"/>
    <mergeCell ref="L77:N77"/>
    <mergeCell ref="L78:N78"/>
    <mergeCell ref="L82:P82"/>
    <mergeCell ref="L21:P29"/>
    <mergeCell ref="AJ25:AQ2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C44"/>
  <sheetViews>
    <sheetView zoomScale="130" zoomScaleNormal="130" workbookViewId="0">
      <selection activeCell="H26" sqref="H26"/>
    </sheetView>
  </sheetViews>
  <sheetFormatPr baseColWidth="10" defaultColWidth="8.83203125" defaultRowHeight="15"/>
  <cols>
    <col min="1" max="1" width="5" customWidth="1"/>
    <col min="2" max="2" width="25.83203125" customWidth="1"/>
    <col min="3" max="5" width="5.1640625" customWidth="1"/>
    <col min="6" max="6" width="4.5" customWidth="1"/>
    <col min="7" max="7" width="9" customWidth="1"/>
    <col min="13" max="19" width="5.1640625" customWidth="1"/>
    <col min="20" max="20" width="4.5" customWidth="1"/>
    <col min="21" max="21" width="9" customWidth="1"/>
    <col min="22" max="22" width="9.5" customWidth="1"/>
    <col min="23" max="23" width="9.83203125" customWidth="1"/>
    <col min="24" max="24" width="10.5" customWidth="1"/>
    <col min="26" max="30" width="5.1640625" customWidth="1"/>
    <col min="31" max="31" width="4.5" customWidth="1"/>
    <col min="32" max="32" width="9" customWidth="1"/>
    <col min="39" max="39" width="7" customWidth="1"/>
    <col min="40" max="53" width="5.6640625" customWidth="1"/>
    <col min="54" max="54" width="4.5" customWidth="1"/>
    <col min="55" max="55" width="9" customWidth="1"/>
  </cols>
  <sheetData>
    <row r="2" spans="2:55" ht="18.75" customHeight="1">
      <c r="C2" s="114" t="s">
        <v>36</v>
      </c>
      <c r="D2" s="114"/>
      <c r="E2" s="114"/>
      <c r="F2" s="114"/>
      <c r="G2" s="114"/>
      <c r="H2" s="1"/>
      <c r="I2" s="1"/>
      <c r="J2" s="1"/>
      <c r="K2" s="1"/>
      <c r="M2" s="114" t="s">
        <v>46</v>
      </c>
      <c r="N2" s="114"/>
      <c r="O2" s="114"/>
      <c r="P2" s="114"/>
      <c r="Q2" s="114"/>
      <c r="R2" s="114"/>
      <c r="S2" s="114"/>
      <c r="T2" s="114"/>
      <c r="U2" s="114"/>
      <c r="Z2" s="114" t="s">
        <v>53</v>
      </c>
      <c r="AA2" s="114"/>
      <c r="AB2" s="114"/>
      <c r="AC2" s="114"/>
      <c r="AD2" s="114"/>
      <c r="AE2" s="114"/>
      <c r="AF2" s="114"/>
      <c r="AM2" s="114" t="s">
        <v>122</v>
      </c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</row>
    <row r="3" spans="2:55">
      <c r="C3" s="115"/>
      <c r="D3" s="115"/>
      <c r="E3" s="115"/>
      <c r="F3" s="115"/>
      <c r="G3" s="115"/>
      <c r="H3" s="1"/>
      <c r="I3" s="1"/>
      <c r="J3" s="1"/>
      <c r="K3" s="1"/>
      <c r="M3" s="115"/>
      <c r="N3" s="115"/>
      <c r="O3" s="115"/>
      <c r="P3" s="115"/>
      <c r="Q3" s="115"/>
      <c r="R3" s="115"/>
      <c r="S3" s="115"/>
      <c r="T3" s="115"/>
      <c r="U3" s="115"/>
      <c r="Z3" s="115"/>
      <c r="AA3" s="115"/>
      <c r="AB3" s="115"/>
      <c r="AC3" s="115"/>
      <c r="AD3" s="115"/>
      <c r="AE3" s="115"/>
      <c r="AF3" s="115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</row>
    <row r="4" spans="2:55">
      <c r="C4" s="115"/>
      <c r="D4" s="115"/>
      <c r="E4" s="115"/>
      <c r="F4" s="115"/>
      <c r="G4" s="115"/>
      <c r="H4" s="1"/>
      <c r="I4" s="1"/>
      <c r="J4" s="1"/>
      <c r="K4" s="1"/>
      <c r="M4" s="115"/>
      <c r="N4" s="115"/>
      <c r="O4" s="115"/>
      <c r="P4" s="115"/>
      <c r="Q4" s="115"/>
      <c r="R4" s="115"/>
      <c r="S4" s="115"/>
      <c r="T4" s="115"/>
      <c r="U4" s="115"/>
      <c r="Z4" s="115"/>
      <c r="AA4" s="115"/>
      <c r="AB4" s="115"/>
      <c r="AC4" s="115"/>
      <c r="AD4" s="115"/>
      <c r="AE4" s="115"/>
      <c r="AF4" s="115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6"/>
      <c r="BC4" s="126"/>
    </row>
    <row r="5" spans="2:55">
      <c r="C5" s="115"/>
      <c r="D5" s="115"/>
      <c r="E5" s="115"/>
      <c r="F5" s="115"/>
      <c r="G5" s="115"/>
      <c r="H5" s="1"/>
      <c r="I5" s="1"/>
      <c r="J5" s="1"/>
      <c r="K5" s="1"/>
      <c r="M5" s="115"/>
      <c r="N5" s="115"/>
      <c r="O5" s="115"/>
      <c r="P5" s="115"/>
      <c r="Q5" s="115"/>
      <c r="R5" s="115"/>
      <c r="S5" s="115"/>
      <c r="T5" s="115"/>
      <c r="U5" s="115"/>
      <c r="Z5" s="115"/>
      <c r="AA5" s="115"/>
      <c r="AB5" s="115"/>
      <c r="AC5" s="115"/>
      <c r="AD5" s="115"/>
      <c r="AE5" s="115"/>
      <c r="AF5" s="115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</row>
    <row r="6" spans="2:55">
      <c r="C6" s="115"/>
      <c r="D6" s="115"/>
      <c r="E6" s="115"/>
      <c r="F6" s="115"/>
      <c r="G6" s="115"/>
      <c r="H6" s="1"/>
      <c r="I6" s="1"/>
      <c r="J6" s="1"/>
      <c r="K6" s="1"/>
      <c r="M6" s="115"/>
      <c r="N6" s="115"/>
      <c r="O6" s="115"/>
      <c r="P6" s="115"/>
      <c r="Q6" s="115"/>
      <c r="R6" s="115"/>
      <c r="S6" s="115"/>
      <c r="T6" s="115"/>
      <c r="U6" s="115"/>
      <c r="Z6" s="115"/>
      <c r="AA6" s="115"/>
      <c r="AB6" s="115"/>
      <c r="AC6" s="115"/>
      <c r="AD6" s="115"/>
      <c r="AE6" s="115"/>
      <c r="AF6" s="115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</row>
    <row r="7" spans="2:55">
      <c r="C7" s="115"/>
      <c r="D7" s="115"/>
      <c r="E7" s="115"/>
      <c r="F7" s="115"/>
      <c r="G7" s="115"/>
      <c r="H7" s="1"/>
      <c r="I7" s="1"/>
      <c r="J7" s="1"/>
      <c r="K7" s="1"/>
      <c r="M7" s="115"/>
      <c r="N7" s="115"/>
      <c r="O7" s="115"/>
      <c r="P7" s="115"/>
      <c r="Q7" s="115"/>
      <c r="R7" s="115"/>
      <c r="S7" s="115"/>
      <c r="T7" s="115"/>
      <c r="U7" s="115"/>
      <c r="Z7" s="115"/>
      <c r="AA7" s="115"/>
      <c r="AB7" s="115"/>
      <c r="AC7" s="115"/>
      <c r="AD7" s="115"/>
      <c r="AE7" s="115"/>
      <c r="AF7" s="115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</row>
    <row r="8" spans="2:55">
      <c r="C8" s="115"/>
      <c r="D8" s="115"/>
      <c r="E8" s="115"/>
      <c r="F8" s="115"/>
      <c r="G8" s="115"/>
      <c r="H8" s="1"/>
      <c r="I8" s="1"/>
      <c r="J8" s="1"/>
      <c r="K8" s="1"/>
      <c r="M8" s="115"/>
      <c r="N8" s="115"/>
      <c r="O8" s="115"/>
      <c r="P8" s="115"/>
      <c r="Q8" s="115"/>
      <c r="R8" s="115"/>
      <c r="S8" s="115"/>
      <c r="T8" s="115"/>
      <c r="U8" s="115"/>
      <c r="Z8" s="115"/>
      <c r="AA8" s="115"/>
      <c r="AB8" s="115"/>
      <c r="AC8" s="115"/>
      <c r="AD8" s="115"/>
      <c r="AE8" s="115"/>
      <c r="AF8" s="115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</row>
    <row r="9" spans="2:55">
      <c r="C9" s="115"/>
      <c r="D9" s="115"/>
      <c r="E9" s="115"/>
      <c r="F9" s="115"/>
      <c r="G9" s="115"/>
      <c r="H9" s="1"/>
      <c r="I9" s="1"/>
      <c r="J9" s="1"/>
      <c r="K9" s="1"/>
      <c r="M9" s="115"/>
      <c r="N9" s="115"/>
      <c r="O9" s="115"/>
      <c r="P9" s="115"/>
      <c r="Q9" s="115"/>
      <c r="R9" s="115"/>
      <c r="S9" s="115"/>
      <c r="T9" s="115"/>
      <c r="U9" s="115"/>
      <c r="Z9" s="115"/>
      <c r="AA9" s="115"/>
      <c r="AB9" s="115"/>
      <c r="AC9" s="115"/>
      <c r="AD9" s="115"/>
      <c r="AE9" s="115"/>
      <c r="AF9" s="115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</row>
    <row r="10" spans="2:55">
      <c r="C10" s="115"/>
      <c r="D10" s="115"/>
      <c r="E10" s="115"/>
      <c r="F10" s="115"/>
      <c r="G10" s="115"/>
      <c r="H10" s="1"/>
      <c r="I10" s="1"/>
      <c r="J10" s="1"/>
      <c r="K10" s="1"/>
      <c r="M10" s="115"/>
      <c r="N10" s="115"/>
      <c r="O10" s="115"/>
      <c r="P10" s="115"/>
      <c r="Q10" s="115"/>
      <c r="R10" s="115"/>
      <c r="S10" s="115"/>
      <c r="T10" s="115"/>
      <c r="U10" s="115"/>
      <c r="Z10" s="115"/>
      <c r="AA10" s="115"/>
      <c r="AB10" s="115"/>
      <c r="AC10" s="115"/>
      <c r="AD10" s="115"/>
      <c r="AE10" s="115"/>
      <c r="AF10" s="115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</row>
    <row r="11" spans="2:55">
      <c r="C11" s="115"/>
      <c r="D11" s="115"/>
      <c r="E11" s="115"/>
      <c r="F11" s="115"/>
      <c r="G11" s="115"/>
      <c r="H11" s="1"/>
      <c r="I11" s="1"/>
      <c r="J11" s="1"/>
      <c r="K11" s="1"/>
      <c r="M11" s="115"/>
      <c r="N11" s="115"/>
      <c r="O11" s="115"/>
      <c r="P11" s="115"/>
      <c r="Q11" s="115"/>
      <c r="R11" s="115"/>
      <c r="S11" s="115"/>
      <c r="T11" s="115"/>
      <c r="U11" s="115"/>
      <c r="Z11" s="115"/>
      <c r="AA11" s="115"/>
      <c r="AB11" s="115"/>
      <c r="AC11" s="115"/>
      <c r="AD11" s="115"/>
      <c r="AE11" s="115"/>
      <c r="AF11" s="115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</row>
    <row r="12" spans="2:55">
      <c r="C12" s="2" t="s">
        <v>0</v>
      </c>
      <c r="D12" s="2" t="s">
        <v>1</v>
      </c>
      <c r="E12" s="2" t="s">
        <v>2</v>
      </c>
      <c r="F12" s="2" t="s">
        <v>3</v>
      </c>
      <c r="G12" s="6" t="s">
        <v>4</v>
      </c>
      <c r="H12" s="1"/>
      <c r="I12" s="1"/>
      <c r="J12" s="1"/>
      <c r="K12" s="1"/>
      <c r="M12" s="2" t="s">
        <v>0</v>
      </c>
      <c r="N12" s="2" t="s">
        <v>1</v>
      </c>
      <c r="O12" s="2" t="s">
        <v>2</v>
      </c>
      <c r="P12" s="2" t="s">
        <v>45</v>
      </c>
      <c r="Q12" s="2" t="s">
        <v>11</v>
      </c>
      <c r="R12" s="2" t="s">
        <v>10</v>
      </c>
      <c r="S12" s="2" t="s">
        <v>14</v>
      </c>
      <c r="T12" s="2" t="s">
        <v>3</v>
      </c>
      <c r="U12" s="6" t="s">
        <v>4</v>
      </c>
      <c r="Z12" s="9" t="s">
        <v>0</v>
      </c>
      <c r="AA12" s="9" t="s">
        <v>1</v>
      </c>
      <c r="AB12" s="9" t="s">
        <v>2</v>
      </c>
      <c r="AC12" s="9" t="s">
        <v>45</v>
      </c>
      <c r="AD12" s="9" t="s">
        <v>52</v>
      </c>
      <c r="AE12" s="9" t="s">
        <v>3</v>
      </c>
      <c r="AF12" s="7" t="s">
        <v>4</v>
      </c>
      <c r="AM12" s="6" t="s">
        <v>19</v>
      </c>
      <c r="AN12" s="6" t="s">
        <v>11</v>
      </c>
      <c r="AO12" s="6" t="s">
        <v>14</v>
      </c>
      <c r="AP12" s="6" t="s">
        <v>0</v>
      </c>
      <c r="AQ12" s="6" t="s">
        <v>1</v>
      </c>
      <c r="AR12" s="6" t="s">
        <v>2</v>
      </c>
      <c r="AS12" s="6" t="s">
        <v>45</v>
      </c>
      <c r="AT12" s="6" t="s">
        <v>52</v>
      </c>
      <c r="AU12" s="6" t="s">
        <v>57</v>
      </c>
      <c r="AV12" s="6" t="s">
        <v>118</v>
      </c>
      <c r="AW12" s="6" t="s">
        <v>10</v>
      </c>
      <c r="AX12" s="6" t="s">
        <v>119</v>
      </c>
      <c r="AY12" s="6" t="s">
        <v>120</v>
      </c>
      <c r="AZ12" s="6" t="s">
        <v>121</v>
      </c>
      <c r="BA12" s="6" t="s">
        <v>9</v>
      </c>
      <c r="BB12" s="9" t="s">
        <v>3</v>
      </c>
      <c r="BC12" s="7" t="s">
        <v>4</v>
      </c>
    </row>
    <row r="13" spans="2:55">
      <c r="B13" s="11" t="s">
        <v>37</v>
      </c>
      <c r="C13" s="18">
        <f>DATA!C9*2+DATA!C12+60</f>
        <v>860</v>
      </c>
      <c r="D13" s="2">
        <f>DATA!C12+60</f>
        <v>220</v>
      </c>
      <c r="E13" s="2">
        <v>4</v>
      </c>
      <c r="F13" s="2">
        <v>1</v>
      </c>
      <c r="G13" s="6" t="s">
        <v>94</v>
      </c>
      <c r="H13" s="1"/>
      <c r="I13" s="1"/>
      <c r="J13" s="1"/>
      <c r="K13" s="1"/>
      <c r="M13" s="2">
        <f>IF(DATA!C29&gt;75,20,15)</f>
        <v>15</v>
      </c>
      <c r="N13" s="2">
        <f>DATA!C30+1</f>
        <v>7</v>
      </c>
      <c r="O13" s="2">
        <f>DATA!C55-2</f>
        <v>44</v>
      </c>
      <c r="P13" s="2">
        <f>DATA!C29+15</f>
        <v>65</v>
      </c>
      <c r="Q13" s="2">
        <f>M13*2+N13*2+O13</f>
        <v>88</v>
      </c>
      <c r="R13" s="2">
        <f>P13+25</f>
        <v>90</v>
      </c>
      <c r="S13" s="2">
        <v>6</v>
      </c>
      <c r="T13" s="2">
        <v>6</v>
      </c>
      <c r="U13" s="6" t="s">
        <v>94</v>
      </c>
      <c r="Z13" s="2">
        <f>ROUNDUP((DATA!C13+DATA!C15+DATA!C17+DATA!C19+DATA!C21+DATA!C22)*0.2+DATA!C32+DATA!C38+DATA!C41+AD13*2,0)</f>
        <v>184</v>
      </c>
      <c r="AA13" s="2">
        <v>40</v>
      </c>
      <c r="AB13" s="2">
        <v>6</v>
      </c>
      <c r="AC13" s="2">
        <v>12</v>
      </c>
      <c r="AD13" s="2">
        <v>30</v>
      </c>
      <c r="AE13" s="2">
        <v>2</v>
      </c>
      <c r="AF13" s="6" t="s">
        <v>94</v>
      </c>
      <c r="AM13" s="6">
        <f>DATA!C58+BA13*2</f>
        <v>404</v>
      </c>
      <c r="AN13" s="6">
        <f>IF(DATA!C5&gt;1000,70,50)</f>
        <v>50</v>
      </c>
      <c r="AO13" s="6">
        <v>6</v>
      </c>
      <c r="AP13" s="6">
        <v>8</v>
      </c>
      <c r="AQ13" s="6">
        <v>10</v>
      </c>
      <c r="AR13" s="6">
        <v>14</v>
      </c>
      <c r="AS13" s="6">
        <f>AN13/2</f>
        <v>25</v>
      </c>
      <c r="AT13" s="6">
        <f>AM13/2-(100+AU13+AV13+AW13-20)</f>
        <v>-144</v>
      </c>
      <c r="AU13" s="6">
        <v>30</v>
      </c>
      <c r="AV13" s="6">
        <f>MROUND(DATA!C9*0.8-(20+AW13),1)</f>
        <v>206</v>
      </c>
      <c r="AW13" s="6">
        <v>30</v>
      </c>
      <c r="AX13" s="6">
        <f>MROUND(DATA!C9*0.35,1)</f>
        <v>112</v>
      </c>
      <c r="AY13" s="6">
        <v>30</v>
      </c>
      <c r="AZ13" s="6">
        <f>AM13/2-(120+AX13+100+AY13)</f>
        <v>-160</v>
      </c>
      <c r="BA13" s="6">
        <v>25</v>
      </c>
      <c r="BB13" s="6">
        <v>1</v>
      </c>
      <c r="BC13" s="6" t="s">
        <v>94</v>
      </c>
    </row>
    <row r="14" spans="2:55">
      <c r="B14" s="11" t="s">
        <v>38</v>
      </c>
      <c r="C14" s="18">
        <f>DATA!C9*2+DATA!C12+60</f>
        <v>860</v>
      </c>
      <c r="D14" s="2">
        <f>DATA!C12+60</f>
        <v>220</v>
      </c>
      <c r="E14" s="2">
        <v>4</v>
      </c>
      <c r="F14" s="2">
        <v>1</v>
      </c>
      <c r="G14" s="6" t="s">
        <v>94</v>
      </c>
      <c r="H14" s="1"/>
      <c r="I14" s="1"/>
      <c r="J14" s="1"/>
      <c r="K14" s="1"/>
      <c r="M14" s="2">
        <f>IF(DATA!C29&gt;75,20,15)</f>
        <v>15</v>
      </c>
      <c r="N14" s="2">
        <f>DATA!C30+1</f>
        <v>7</v>
      </c>
      <c r="O14" s="2">
        <f>DATA!C56-2</f>
        <v>44</v>
      </c>
      <c r="P14" s="2">
        <f>DATA!C29+15</f>
        <v>65</v>
      </c>
      <c r="Q14" s="2">
        <f>M14*2+N14*2+O14</f>
        <v>88</v>
      </c>
      <c r="R14" s="2">
        <f>P14+25</f>
        <v>90</v>
      </c>
      <c r="S14" s="2">
        <v>6</v>
      </c>
      <c r="T14" s="2">
        <v>4</v>
      </c>
      <c r="U14" s="6" t="s">
        <v>94</v>
      </c>
      <c r="Z14" s="3"/>
      <c r="AA14" s="3"/>
      <c r="AB14" s="3"/>
      <c r="AC14" s="3"/>
      <c r="AD14" s="3"/>
      <c r="AE14" s="3"/>
      <c r="AF14" s="5"/>
    </row>
    <row r="15" spans="2:55">
      <c r="B15" s="11" t="s">
        <v>39</v>
      </c>
      <c r="C15" s="18">
        <f>DATA!C9*2+DATA!C12+60</f>
        <v>860</v>
      </c>
      <c r="D15" s="2">
        <f>DATA!C12+60</f>
        <v>220</v>
      </c>
      <c r="E15" s="2">
        <v>2</v>
      </c>
      <c r="F15" s="2">
        <v>1</v>
      </c>
      <c r="G15" s="6" t="s">
        <v>94</v>
      </c>
      <c r="H15" s="1"/>
      <c r="I15" s="1"/>
      <c r="J15" s="1"/>
      <c r="K15" s="1"/>
      <c r="M15" s="2"/>
      <c r="N15" s="2"/>
      <c r="O15" s="2"/>
      <c r="P15" s="2"/>
      <c r="Q15" s="2"/>
      <c r="R15" s="2"/>
      <c r="S15" s="2"/>
      <c r="T15" s="2"/>
      <c r="U15" s="6"/>
      <c r="Z15" s="3"/>
      <c r="AA15" s="3"/>
      <c r="AB15" s="3"/>
      <c r="AC15" s="3"/>
      <c r="AD15" s="3"/>
      <c r="AE15" s="3"/>
      <c r="AF15" s="5"/>
    </row>
    <row r="16" spans="2:55">
      <c r="B16" s="11" t="s">
        <v>40</v>
      </c>
      <c r="C16" s="18">
        <f>DATA!C9*2+DATA!C12</f>
        <v>800</v>
      </c>
      <c r="D16" s="2">
        <f>DATA!C12+20</f>
        <v>180</v>
      </c>
      <c r="E16" s="2">
        <v>4</v>
      </c>
      <c r="F16" s="2">
        <v>1</v>
      </c>
      <c r="G16" s="6" t="s">
        <v>94</v>
      </c>
      <c r="H16" s="1"/>
      <c r="I16" s="1"/>
      <c r="J16" s="1"/>
      <c r="K16" s="1"/>
    </row>
    <row r="17" spans="2:55">
      <c r="B17" s="11" t="s">
        <v>41</v>
      </c>
      <c r="C17" s="18">
        <f>DATA!C9*2+DATA!C12+60</f>
        <v>860</v>
      </c>
      <c r="D17" s="2">
        <f>DATA!C12+20</f>
        <v>180</v>
      </c>
      <c r="E17" s="2">
        <v>2</v>
      </c>
      <c r="F17" s="2">
        <v>1</v>
      </c>
      <c r="G17" s="6" t="s">
        <v>94</v>
      </c>
      <c r="H17" s="1"/>
      <c r="I17" s="1"/>
      <c r="J17" s="1"/>
      <c r="K17" s="1"/>
    </row>
    <row r="18" spans="2:55">
      <c r="B18" s="11" t="s">
        <v>42</v>
      </c>
      <c r="C18" s="18">
        <f>DATA!C9*2+DATA!C12+60</f>
        <v>860</v>
      </c>
      <c r="D18" s="2">
        <f>DATA!C12+60</f>
        <v>220</v>
      </c>
      <c r="E18" s="2">
        <v>2</v>
      </c>
      <c r="F18" s="2">
        <v>1</v>
      </c>
      <c r="G18" s="6" t="s">
        <v>94</v>
      </c>
      <c r="H18" s="1"/>
      <c r="I18" s="1"/>
      <c r="J18" s="1"/>
      <c r="K18" s="1"/>
    </row>
    <row r="19" spans="2:55">
      <c r="B19" s="11" t="s">
        <v>43</v>
      </c>
      <c r="C19" s="2"/>
      <c r="D19" s="2"/>
      <c r="E19" s="2"/>
      <c r="F19" s="2"/>
      <c r="G19" s="6"/>
      <c r="H19" s="1"/>
      <c r="I19" s="1"/>
      <c r="J19" s="1"/>
      <c r="K19" s="1"/>
    </row>
    <row r="20" spans="2:55">
      <c r="B20" s="11" t="s">
        <v>44</v>
      </c>
      <c r="C20" s="2"/>
      <c r="D20" s="2"/>
      <c r="E20" s="2"/>
      <c r="F20" s="2"/>
      <c r="G20" s="6"/>
      <c r="H20" s="1"/>
      <c r="I20" s="1"/>
      <c r="J20" s="1"/>
      <c r="K20" s="1"/>
    </row>
    <row r="21" spans="2:55" ht="16">
      <c r="B21" s="11" t="s">
        <v>54</v>
      </c>
      <c r="C21" s="2"/>
      <c r="D21" s="2"/>
      <c r="E21" s="2"/>
      <c r="F21" s="2"/>
      <c r="G21" s="6"/>
      <c r="H21" s="1"/>
      <c r="I21" s="1"/>
      <c r="J21" s="1"/>
      <c r="K21" s="1"/>
      <c r="AM21" s="114" t="s">
        <v>122</v>
      </c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</row>
    <row r="22" spans="2:55">
      <c r="G22" s="5"/>
      <c r="H22" s="1"/>
      <c r="I22" s="1"/>
      <c r="J22" s="1"/>
      <c r="K22" s="1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</row>
    <row r="23" spans="2:55">
      <c r="G23" s="5"/>
      <c r="H23" s="1"/>
      <c r="I23" s="1"/>
      <c r="J23" s="1"/>
      <c r="K23" s="1"/>
      <c r="R23">
        <v>1074</v>
      </c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</row>
    <row r="24" spans="2:55">
      <c r="G24" s="5"/>
      <c r="H24" s="1"/>
      <c r="I24" s="1"/>
      <c r="J24" s="1"/>
      <c r="K24" s="1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</row>
    <row r="25" spans="2:55" ht="16">
      <c r="C25" s="4"/>
      <c r="D25" s="4"/>
      <c r="E25" s="4"/>
      <c r="F25" s="4"/>
      <c r="G25" s="4"/>
      <c r="H25" s="1"/>
      <c r="I25" s="1"/>
      <c r="J25" s="1"/>
      <c r="K25" s="1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</row>
    <row r="26" spans="2:55">
      <c r="C26" s="3"/>
      <c r="D26" s="3"/>
      <c r="E26" s="3"/>
      <c r="F26" s="3"/>
      <c r="G26" s="5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</row>
    <row r="27" spans="2:55"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</row>
    <row r="28" spans="2:55"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</row>
    <row r="29" spans="2:55"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</row>
    <row r="30" spans="2:55" ht="16">
      <c r="C30" s="4"/>
      <c r="D30" s="4"/>
      <c r="E30" s="4"/>
      <c r="F30" s="4"/>
      <c r="G30" s="4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</row>
    <row r="31" spans="2:55">
      <c r="AM31" s="6" t="s">
        <v>19</v>
      </c>
      <c r="AN31" s="6" t="s">
        <v>11</v>
      </c>
      <c r="AO31" s="6" t="s">
        <v>14</v>
      </c>
      <c r="AP31" s="6" t="s">
        <v>0</v>
      </c>
      <c r="AQ31" s="6" t="s">
        <v>1</v>
      </c>
      <c r="AR31" s="6" t="s">
        <v>2</v>
      </c>
      <c r="AS31" s="6" t="s">
        <v>45</v>
      </c>
      <c r="AT31" s="6" t="s">
        <v>52</v>
      </c>
      <c r="AU31" s="6" t="s">
        <v>57</v>
      </c>
      <c r="AV31" s="6" t="s">
        <v>118</v>
      </c>
      <c r="AW31" s="6" t="s">
        <v>10</v>
      </c>
      <c r="AX31" s="6" t="s">
        <v>119</v>
      </c>
      <c r="AY31" s="6" t="s">
        <v>120</v>
      </c>
      <c r="AZ31" s="6" t="s">
        <v>121</v>
      </c>
      <c r="BA31" s="6" t="s">
        <v>9</v>
      </c>
      <c r="BB31" s="9" t="s">
        <v>3</v>
      </c>
      <c r="BC31" s="7" t="s">
        <v>4</v>
      </c>
    </row>
    <row r="32" spans="2:55">
      <c r="AM32" s="6">
        <f>MROUND(DATA!C9*2+DATA!C12+(DATA!C33+DATA!C38),1)</f>
        <v>834</v>
      </c>
      <c r="AN32" s="6">
        <f>IF(DATA!C5&gt;1000,70,50)</f>
        <v>50</v>
      </c>
      <c r="AO32" s="6">
        <v>6</v>
      </c>
      <c r="AP32" s="6">
        <v>8</v>
      </c>
      <c r="AQ32" s="6">
        <v>10</v>
      </c>
      <c r="AR32" s="6">
        <v>14</v>
      </c>
      <c r="AS32" s="6">
        <f>AN32/2</f>
        <v>25</v>
      </c>
      <c r="AT32" s="6">
        <f>AM32/2-(100+AU32+AV32+AW32-20)</f>
        <v>71</v>
      </c>
      <c r="AU32" s="6">
        <v>30</v>
      </c>
      <c r="AV32" s="6">
        <f>MROUND(DATA!C9*0.8-(20+AW13),1)</f>
        <v>206</v>
      </c>
      <c r="AW32" s="6">
        <v>30</v>
      </c>
      <c r="AX32" s="6">
        <f>MROUND(DATA!C9*0.35,1)</f>
        <v>112</v>
      </c>
      <c r="AY32" s="6">
        <v>30</v>
      </c>
      <c r="AZ32" s="6">
        <f>AM32-(AT32+AU32+100+AV32+AW32+100+AX32+100+AY32)</f>
        <v>55</v>
      </c>
      <c r="BA32" s="6">
        <f>(AM32-DATA!C58)/2</f>
        <v>240</v>
      </c>
      <c r="BB32" s="6">
        <v>1</v>
      </c>
      <c r="BC32" s="19" t="s">
        <v>94</v>
      </c>
    </row>
    <row r="36" spans="3:44">
      <c r="AR36">
        <f>(1570-AM32)/2</f>
        <v>368</v>
      </c>
    </row>
    <row r="40" spans="3:44">
      <c r="C40" s="3"/>
      <c r="D40" s="3"/>
      <c r="E40" s="3"/>
      <c r="F40" s="3"/>
      <c r="G40" s="5"/>
    </row>
    <row r="41" spans="3:44">
      <c r="C41" s="3"/>
      <c r="D41" s="3"/>
      <c r="E41" s="3"/>
      <c r="F41" s="3"/>
      <c r="G41" s="5"/>
    </row>
    <row r="42" spans="3:44">
      <c r="C42" s="3"/>
      <c r="D42" s="3"/>
      <c r="E42" s="3"/>
      <c r="F42" s="3"/>
      <c r="G42" s="5"/>
    </row>
    <row r="43" spans="3:44">
      <c r="C43" s="3"/>
      <c r="D43" s="3"/>
      <c r="E43" s="3"/>
      <c r="F43" s="3"/>
      <c r="G43" s="5"/>
    </row>
    <row r="44" spans="3:44" ht="16">
      <c r="C44" s="4"/>
      <c r="D44" s="4"/>
      <c r="E44" s="4"/>
      <c r="F44" s="4"/>
      <c r="G44" s="4"/>
    </row>
  </sheetData>
  <mergeCells count="10">
    <mergeCell ref="C2:G2"/>
    <mergeCell ref="C3:G11"/>
    <mergeCell ref="AM21:BC21"/>
    <mergeCell ref="AM22:BC30"/>
    <mergeCell ref="AM2:BC2"/>
    <mergeCell ref="AM3:BC11"/>
    <mergeCell ref="Z2:AF2"/>
    <mergeCell ref="Z3:AF11"/>
    <mergeCell ref="M2:U2"/>
    <mergeCell ref="M3:U1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D62B-C29E-456C-A396-E8B56061CFB1}">
  <dimension ref="A1:J26"/>
  <sheetViews>
    <sheetView workbookViewId="0">
      <selection activeCell="O7" sqref="O7"/>
    </sheetView>
  </sheetViews>
  <sheetFormatPr baseColWidth="10" defaultColWidth="9.1640625" defaultRowHeight="15"/>
  <cols>
    <col min="1" max="1" width="25.5" style="37" customWidth="1"/>
    <col min="2" max="2" width="14.5" style="39" customWidth="1"/>
    <col min="3" max="3" width="12.83203125" style="53" bestFit="1" customWidth="1"/>
    <col min="4" max="4" width="9" style="37" bestFit="1" customWidth="1"/>
    <col min="5" max="7" width="4.5" style="37" bestFit="1" customWidth="1"/>
    <col min="8" max="8" width="2" style="37" bestFit="1" customWidth="1"/>
    <col min="9" max="9" width="22.83203125" style="37" bestFit="1" customWidth="1"/>
    <col min="10" max="10" width="31.6640625" style="87" bestFit="1" customWidth="1"/>
    <col min="11" max="16384" width="9.1640625" style="37"/>
  </cols>
  <sheetData>
    <row r="1" spans="1:10">
      <c r="A1" s="37" t="s">
        <v>162</v>
      </c>
      <c r="B1" s="39">
        <f>DATA!C48</f>
        <v>425</v>
      </c>
      <c r="I1" s="43"/>
      <c r="J1" s="86" t="str">
        <f>B1&amp;C1&amp;D1&amp;E1&amp;F1&amp;G1</f>
        <v>425</v>
      </c>
    </row>
    <row r="2" spans="1:10">
      <c r="A2" s="37" t="s">
        <v>163</v>
      </c>
      <c r="B2" s="39">
        <f>(DATA!C47-DATA!C48)/2</f>
        <v>20</v>
      </c>
      <c r="I2" s="43"/>
      <c r="J2" s="86" t="str">
        <f>B2&amp;C2&amp;D2&amp;E2&amp;F2&amp;G2</f>
        <v>20</v>
      </c>
    </row>
    <row r="3" spans="1:10">
      <c r="A3" s="37" t="s">
        <v>159</v>
      </c>
      <c r="B3" s="66">
        <f>DATA!C60</f>
        <v>252.5</v>
      </c>
      <c r="C3" s="53">
        <f>ROUND(B3,1)</f>
        <v>252.5</v>
      </c>
      <c r="D3" s="79" t="s">
        <v>354</v>
      </c>
      <c r="I3" s="43"/>
      <c r="J3" s="86" t="str">
        <f>C3&amp;D3&amp;E3&amp;F3&amp;G3</f>
        <v>252.5 (+0.5/-0)</v>
      </c>
    </row>
    <row r="4" spans="1:10">
      <c r="A4" s="37" t="s">
        <v>158</v>
      </c>
      <c r="B4" s="66">
        <f>DATA!C12+1</f>
        <v>161</v>
      </c>
      <c r="C4" s="53">
        <f t="shared" ref="C4" si="0">ROUND(B4,1)</f>
        <v>161</v>
      </c>
      <c r="D4" s="79" t="s">
        <v>354</v>
      </c>
      <c r="I4" s="43"/>
      <c r="J4" s="86" t="str">
        <f t="shared" ref="J4:J6" si="1">C4&amp;D4&amp;E4&amp;F4&amp;G4</f>
        <v>161 (+0.5/-0)</v>
      </c>
    </row>
    <row r="5" spans="1:10">
      <c r="A5" s="37" t="s">
        <v>160</v>
      </c>
      <c r="B5" s="40">
        <f>B4+(DATA!C33*2)+B24*2</f>
        <v>214.66</v>
      </c>
      <c r="C5" s="53">
        <f>ROUND(B5,0)</f>
        <v>215</v>
      </c>
      <c r="D5" s="79" t="s">
        <v>304</v>
      </c>
      <c r="I5" s="43"/>
      <c r="J5" s="86" t="str">
        <f t="shared" si="1"/>
        <v>215 (+1/-1)</v>
      </c>
    </row>
    <row r="6" spans="1:10">
      <c r="A6" s="37" t="s">
        <v>161</v>
      </c>
      <c r="B6" s="39">
        <f>LV!AA31</f>
        <v>330.15999999999997</v>
      </c>
      <c r="C6" s="53">
        <f>ROUND(B6,0)</f>
        <v>330</v>
      </c>
      <c r="D6" s="79" t="s">
        <v>304</v>
      </c>
      <c r="I6" s="43"/>
      <c r="J6" s="86" t="str">
        <f t="shared" si="1"/>
        <v>330 (+1/-1)</v>
      </c>
    </row>
    <row r="7" spans="1:10">
      <c r="I7" s="43"/>
      <c r="J7" s="86" t="str">
        <f t="shared" ref="J7" si="2">B7&amp;C7&amp;D7&amp;E7&amp;F7&amp;G7</f>
        <v/>
      </c>
    </row>
    <row r="8" spans="1:10">
      <c r="A8" s="37" t="s">
        <v>167</v>
      </c>
      <c r="B8" s="39">
        <f>DATA!C48</f>
        <v>425</v>
      </c>
      <c r="C8" s="53">
        <f>DATA!C61</f>
        <v>0.85</v>
      </c>
      <c r="D8" s="37">
        <f>DATA!C61/2</f>
        <v>0.42499999999999999</v>
      </c>
      <c r="E8" s="37">
        <f>IF(C8&lt;=1, C8,D8)</f>
        <v>0.85</v>
      </c>
      <c r="F8" s="37">
        <f>IF(C8&lt;1, 1,2)</f>
        <v>1</v>
      </c>
      <c r="I8" s="43"/>
      <c r="J8" s="86" t="str">
        <f>A8&amp;" / "&amp;B8&amp;"x"&amp;E8&amp;"mmx"&amp;F8</f>
        <v>CU-FOIL / 425x0.85mmx1</v>
      </c>
    </row>
    <row r="9" spans="1:10">
      <c r="A9" s="37" t="s">
        <v>170</v>
      </c>
      <c r="B9" s="39">
        <f>DATA!C63</f>
        <v>183.46</v>
      </c>
      <c r="C9" s="53" t="s">
        <v>169</v>
      </c>
      <c r="I9" s="43"/>
      <c r="J9" s="86" t="str">
        <f t="shared" ref="J9:J13" si="3">B9&amp;C9&amp;D9&amp;E9&amp;F9&amp;G9</f>
        <v>183.46kg</v>
      </c>
    </row>
    <row r="10" spans="1:10">
      <c r="A10" s="37" t="s">
        <v>171</v>
      </c>
      <c r="B10" s="39">
        <f>DATA!C66</f>
        <v>24</v>
      </c>
      <c r="I10" s="43"/>
      <c r="J10" s="86" t="str">
        <f>B10&amp;C10&amp;D10&amp;E10&amp;F10&amp;G10</f>
        <v>24</v>
      </c>
    </row>
    <row r="11" spans="1:10">
      <c r="A11" s="37" t="s">
        <v>172</v>
      </c>
      <c r="B11" s="39" t="s">
        <v>258</v>
      </c>
      <c r="C11" s="53" t="str">
        <f>IF(DATA!C5&gt;1000, "SINGLE LAYER","DOUBLE LAYER")</f>
        <v>DOUBLE LAYER</v>
      </c>
      <c r="D11" s="37" t="s">
        <v>173</v>
      </c>
      <c r="E11" s="37">
        <f>DATA!C47-2</f>
        <v>463</v>
      </c>
      <c r="F11" s="37" t="s">
        <v>168</v>
      </c>
      <c r="G11" s="37" t="s">
        <v>173</v>
      </c>
      <c r="H11" s="37">
        <f>IF(DATA!C5&gt;1000,2,IF(DATA!C62&gt;1,2,1))</f>
        <v>1</v>
      </c>
      <c r="I11" s="43"/>
      <c r="J11" s="86" t="str">
        <f>B11&amp;"("&amp;C11&amp;")"&amp;D11&amp;E11&amp;F11&amp;G11&amp;H11</f>
        <v>0.15DDP(DOUBLE LAYER)x463mmx1</v>
      </c>
    </row>
    <row r="12" spans="1:10">
      <c r="A12" s="37" t="s">
        <v>174</v>
      </c>
      <c r="B12" s="39">
        <f>B2-2</f>
        <v>18</v>
      </c>
      <c r="C12" s="53" t="s">
        <v>173</v>
      </c>
      <c r="D12" s="37">
        <v>0.25</v>
      </c>
      <c r="E12" s="37" t="s">
        <v>168</v>
      </c>
      <c r="I12" s="43"/>
      <c r="J12" s="86" t="str">
        <f t="shared" si="3"/>
        <v>18x0.25mm</v>
      </c>
    </row>
    <row r="13" spans="1:10">
      <c r="A13" s="37" t="s">
        <v>175</v>
      </c>
      <c r="B13" s="41">
        <f>DATA!C64</f>
        <v>5.72</v>
      </c>
      <c r="C13" s="53" t="s">
        <v>169</v>
      </c>
      <c r="I13" s="43"/>
      <c r="J13" s="86" t="str">
        <f t="shared" si="3"/>
        <v>5.72kg</v>
      </c>
    </row>
    <row r="14" spans="1:10">
      <c r="I14" s="43" t="str">
        <f>B14&amp;C14&amp;D14&amp;E14&amp;F14&amp;G14</f>
        <v/>
      </c>
      <c r="J14" s="86"/>
    </row>
    <row r="15" spans="1:10">
      <c r="A15" s="37" t="s">
        <v>176</v>
      </c>
      <c r="B15" s="40">
        <f>LV!Q14+LV!O14</f>
        <v>4.5</v>
      </c>
      <c r="C15" s="53" t="s">
        <v>173</v>
      </c>
      <c r="D15" s="39">
        <f>ROUND(LV!M14, 0)</f>
        <v>813</v>
      </c>
      <c r="E15" s="37" t="s">
        <v>173</v>
      </c>
      <c r="F15" s="37">
        <f>LV!N14</f>
        <v>463</v>
      </c>
      <c r="G15" s="37" t="s">
        <v>168</v>
      </c>
      <c r="I15" s="43" t="str">
        <f>B16&amp;" CD / "&amp;B15&amp;C15&amp;D15&amp;E15&amp;F15&amp;G15&amp;"x"&amp;LV!S14</f>
        <v>FULL CD / 4.5x813x463mmx1</v>
      </c>
      <c r="J15" s="86" t="str">
        <f>IF(DATA!$C$35&gt;0, '3'!I15, "")</f>
        <v>FULL CD / 4.5x813x463mmx1</v>
      </c>
    </row>
    <row r="16" spans="1:10">
      <c r="A16" s="37" t="s">
        <v>176</v>
      </c>
      <c r="B16" s="40" t="str">
        <f>IF(DATA!C35&gt;=1, "FULL", IF(DATA!C35&gt;=0.67, "2/3", IF(DATA!C35&gt;=0.33, "1/3",IF(DATA!C35&gt;=0, "N/A"))))</f>
        <v>FULL</v>
      </c>
      <c r="D16" s="39"/>
      <c r="I16" s="43"/>
      <c r="J16" s="86"/>
    </row>
    <row r="17" spans="1:10">
      <c r="A17" s="37" t="s">
        <v>177</v>
      </c>
      <c r="B17" s="39">
        <f>LV!M14/LV!P14</f>
        <v>42.776159079055695</v>
      </c>
      <c r="I17" s="43">
        <f>ROUND(B17,0)</f>
        <v>43</v>
      </c>
      <c r="J17" s="86">
        <f>IF(DATA!$C$35&gt;0, '3'!I17, "")</f>
        <v>43</v>
      </c>
    </row>
    <row r="18" spans="1:10">
      <c r="A18" s="37" t="s">
        <v>178</v>
      </c>
      <c r="B18" s="41">
        <f>(DATA!C66*(1+DATA!C35/2))/(2+DATA!C35+DATA!C36*2)</f>
        <v>9.8360655737704921</v>
      </c>
      <c r="C18" s="53">
        <f>ROUNDDOWN(B18, 0)</f>
        <v>9</v>
      </c>
      <c r="D18" s="39" t="s">
        <v>179</v>
      </c>
      <c r="E18" s="39">
        <f>C18+1</f>
        <v>10</v>
      </c>
      <c r="I18" s="43" t="str">
        <f>"BETWEEN "&amp;C18&amp;D18&amp;E18</f>
        <v>BETWEEN 9&amp;10</v>
      </c>
      <c r="J18" s="86" t="str">
        <f>IF(DATA!$C$35&gt;0, '3'!I18, "")</f>
        <v>BETWEEN 9&amp;10</v>
      </c>
    </row>
    <row r="19" spans="1:10">
      <c r="A19" s="37" t="s">
        <v>180</v>
      </c>
      <c r="B19" s="40">
        <f>LV!Q15+LV!O15</f>
        <v>4.5</v>
      </c>
      <c r="C19" s="53" t="s">
        <v>173</v>
      </c>
      <c r="D19" s="39">
        <f>ROUND(LV!M15,0)</f>
        <v>287</v>
      </c>
      <c r="E19" s="37" t="s">
        <v>173</v>
      </c>
      <c r="F19" s="37">
        <f>LV!N15</f>
        <v>463</v>
      </c>
      <c r="G19" s="37" t="s">
        <v>168</v>
      </c>
      <c r="I19" s="43" t="str">
        <f>B20&amp;" CD / "&amp;B19&amp;C19&amp;D19&amp;E19&amp;F19&amp;G19&amp;"x"&amp;LV!S15</f>
        <v>1/3 CD / 4.5x287x463mmx1</v>
      </c>
      <c r="J19" s="86" t="str">
        <f>IF(DATA!$C$36&gt;0, '3'!I19, "")</f>
        <v>1/3 CD / 4.5x287x463mmx1</v>
      </c>
    </row>
    <row r="20" spans="1:10">
      <c r="A20" s="37" t="s">
        <v>180</v>
      </c>
      <c r="B20" s="39" t="str">
        <f>IF(DATA!C36&gt;=1, "FULL", IF(DATA!C36&gt;=0.67, "2/3", IF(DATA!C36&gt;=0.33, "1/3",IF(DATA!C36&gt;=0, "0"))))</f>
        <v>1/3</v>
      </c>
      <c r="D20" s="39"/>
      <c r="E20" s="39"/>
      <c r="I20" s="43"/>
      <c r="J20" s="86"/>
    </row>
    <row r="21" spans="1:10">
      <c r="A21" s="37" t="s">
        <v>181</v>
      </c>
      <c r="B21" s="39">
        <f>LV!M15/LV!P15</f>
        <v>15.13018106391751</v>
      </c>
      <c r="D21" s="39"/>
      <c r="E21" s="39"/>
      <c r="I21" s="43">
        <f>ROUND(B21,0)</f>
        <v>15</v>
      </c>
      <c r="J21" s="86">
        <f>IF(DATA!$C$36&gt;0, '3'!I21, "")</f>
        <v>15</v>
      </c>
    </row>
    <row r="22" spans="1:10">
      <c r="A22" s="37" t="s">
        <v>182</v>
      </c>
      <c r="B22" s="41">
        <f>(DATA!C66*(1+(DATA!C35*2)+DATA!C36)/(2+DATA!C35*2+DATA!C36*2))</f>
        <v>17.150214592274679</v>
      </c>
      <c r="C22" s="53">
        <f>ROUNDDOWN(B22, 0)</f>
        <v>17</v>
      </c>
      <c r="D22" s="39" t="s">
        <v>179</v>
      </c>
      <c r="E22" s="39">
        <f>C22+1</f>
        <v>18</v>
      </c>
      <c r="I22" s="43" t="str">
        <f>"BETWEEN "&amp;C22&amp;D22&amp;E22</f>
        <v>BETWEEN 17&amp;18</v>
      </c>
      <c r="J22" s="86" t="str">
        <f>IF(DATA!$C$36&gt;0, '3'!I22, "")</f>
        <v>BETWEEN 17&amp;18</v>
      </c>
    </row>
    <row r="23" spans="1:10">
      <c r="I23" s="43"/>
      <c r="J23" s="86"/>
    </row>
    <row r="24" spans="1:10">
      <c r="A24" s="37" t="s">
        <v>140</v>
      </c>
      <c r="B24" s="39" t="str">
        <f>LV!D14</f>
        <v>1</v>
      </c>
      <c r="C24" s="53" t="s">
        <v>173</v>
      </c>
      <c r="D24" s="39">
        <f>ROUND(LV!B14,0)</f>
        <v>741</v>
      </c>
      <c r="E24" s="37" t="s">
        <v>173</v>
      </c>
      <c r="F24" s="37">
        <f>LV!C14</f>
        <v>463</v>
      </c>
      <c r="G24" s="37" t="s">
        <v>168</v>
      </c>
      <c r="I24" s="43"/>
      <c r="J24" s="86" t="str">
        <f>B24&amp;C24&amp;D24&amp;E24&amp;F24&amp;G24</f>
        <v>1x741x463mm</v>
      </c>
    </row>
    <row r="26" spans="1:10">
      <c r="A26" s="37" t="s">
        <v>305</v>
      </c>
      <c r="J26" s="87" t="str">
        <f>DATA!C65&amp;" @ 75C"</f>
        <v>0.001104 @ 75C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82E9-0C58-4C57-B923-05135C38CAAD}">
  <dimension ref="A1:Q37"/>
  <sheetViews>
    <sheetView workbookViewId="0">
      <selection activeCell="B13" sqref="B13"/>
    </sheetView>
  </sheetViews>
  <sheetFormatPr baseColWidth="10" defaultColWidth="9.1640625" defaultRowHeight="15"/>
  <cols>
    <col min="1" max="1" width="19.83203125" style="50" bestFit="1" customWidth="1"/>
    <col min="2" max="2" width="23.5" style="50" bestFit="1" customWidth="1"/>
    <col min="3" max="3" width="3" style="50" bestFit="1" customWidth="1"/>
    <col min="4" max="4" width="5" style="50" bestFit="1" customWidth="1"/>
    <col min="5" max="5" width="4.5" style="50" bestFit="1" customWidth="1"/>
    <col min="6" max="6" width="5" style="50" bestFit="1" customWidth="1"/>
    <col min="7" max="7" width="31.1640625" style="50" bestFit="1" customWidth="1"/>
    <col min="8" max="8" width="20.6640625" style="50" bestFit="1" customWidth="1"/>
    <col min="9" max="9" width="5" style="50" bestFit="1" customWidth="1"/>
    <col min="10" max="11" width="2" style="50" bestFit="1" customWidth="1"/>
    <col min="12" max="12" width="3.6640625" bestFit="1" customWidth="1"/>
    <col min="13" max="13" width="1.6640625" style="50" bestFit="1" customWidth="1"/>
    <col min="14" max="14" width="24.83203125" style="43" bestFit="1" customWidth="1"/>
    <col min="15" max="15" width="34.5" style="89" bestFit="1" customWidth="1"/>
    <col min="16" max="16" width="4.5" style="50" bestFit="1" customWidth="1"/>
    <col min="17" max="17" width="12" style="50" customWidth="1"/>
    <col min="18" max="16384" width="9.1640625" style="50"/>
  </cols>
  <sheetData>
    <row r="1" spans="1:17">
      <c r="A1" s="49" t="s">
        <v>219</v>
      </c>
      <c r="O1" s="88"/>
    </row>
    <row r="2" spans="1:17">
      <c r="A2" s="49" t="s">
        <v>225</v>
      </c>
      <c r="B2" s="43">
        <f>HV!AK41</f>
        <v>434.29999999999995</v>
      </c>
      <c r="C2" s="50" t="s">
        <v>227</v>
      </c>
      <c r="N2" s="107">
        <f>ROUND(B2,0)</f>
        <v>434</v>
      </c>
      <c r="O2" s="106" t="str">
        <f>N2&amp;""&amp;C2&amp;""&amp;D2&amp;""&amp;E2&amp;""&amp;F2</f>
        <v>434±3</v>
      </c>
      <c r="Q2" s="107"/>
    </row>
    <row r="3" spans="1:17">
      <c r="A3" s="49" t="s">
        <v>226</v>
      </c>
      <c r="B3" s="43">
        <f>'3'!B5+(DATA!C38*2)+(DATA!C42*2)</f>
        <v>308.8</v>
      </c>
      <c r="C3" s="50" t="s">
        <v>227</v>
      </c>
      <c r="N3" s="107">
        <f>ROUND(B3,0)</f>
        <v>309</v>
      </c>
      <c r="O3" s="88" t="str">
        <f>N3&amp;""&amp;C3&amp;""&amp;D3&amp;""&amp;E3&amp;""&amp;F3</f>
        <v>309±3</v>
      </c>
    </row>
    <row r="4" spans="1:17">
      <c r="A4" s="50" t="s">
        <v>220</v>
      </c>
      <c r="B4" s="50" t="s">
        <v>221</v>
      </c>
      <c r="C4" s="50" t="s">
        <v>222</v>
      </c>
      <c r="D4" s="50">
        <f>DATA!C68</f>
        <v>3.05</v>
      </c>
      <c r="E4" s="50" t="s">
        <v>173</v>
      </c>
      <c r="F4" s="50">
        <f>DATA!C69</f>
        <v>2</v>
      </c>
      <c r="O4" s="88" t="str">
        <f>B4&amp;" "&amp;C4&amp;""&amp;D4&amp;""&amp;E4&amp;""&amp;F4</f>
        <v>COPPER ROUND ø3.05x2</v>
      </c>
    </row>
    <row r="5" spans="1:17">
      <c r="A5" s="50" t="s">
        <v>228</v>
      </c>
      <c r="B5" s="50">
        <f>DATA!C70</f>
        <v>284.37</v>
      </c>
      <c r="C5" s="50" t="s">
        <v>169</v>
      </c>
      <c r="O5" s="88" t="str">
        <f t="shared" ref="O5:O13" si="0">B5&amp;""&amp;C5&amp;""&amp;D5&amp;""&amp;E5&amp;""&amp;F5</f>
        <v>284.37kg</v>
      </c>
    </row>
    <row r="6" spans="1:17">
      <c r="A6" s="50" t="s">
        <v>229</v>
      </c>
      <c r="B6" s="50">
        <f>DATA!C75</f>
        <v>11</v>
      </c>
      <c r="O6" s="88" t="str">
        <f t="shared" si="0"/>
        <v>11</v>
      </c>
    </row>
    <row r="7" spans="1:17">
      <c r="O7" s="88" t="str">
        <f t="shared" si="0"/>
        <v/>
      </c>
    </row>
    <row r="8" spans="1:17">
      <c r="A8" s="50" t="s">
        <v>272</v>
      </c>
      <c r="B8" s="50" t="str">
        <f>VLOOKUP(DATA!C78, '4(data)'!A:G, 4,FALSE)</f>
        <v>0x0.15DDP+1x0.25DDP</v>
      </c>
      <c r="D8" s="50" t="s">
        <v>173</v>
      </c>
      <c r="E8" s="50">
        <f>DATA!$C$47-2</f>
        <v>463</v>
      </c>
      <c r="F8" s="50" t="s">
        <v>168</v>
      </c>
      <c r="G8" s="50" t="str">
        <f>"("&amp;B8&amp;")"&amp;C8&amp;""&amp;D8&amp;""&amp;E8&amp;""&amp;F8</f>
        <v>(0x0.15DDP+1x0.25DDP)x463mm</v>
      </c>
      <c r="O8" s="88" t="str">
        <f>IF(DATA!C81="Paper", G8, H10)</f>
        <v>(0x0.15DDP+1x0.25DDP)x463mm</v>
      </c>
      <c r="P8" s="50">
        <v>5</v>
      </c>
    </row>
    <row r="9" spans="1:17">
      <c r="A9" s="50" t="s">
        <v>273</v>
      </c>
      <c r="B9" s="50" t="s">
        <v>258</v>
      </c>
      <c r="D9" s="50" t="s">
        <v>173</v>
      </c>
      <c r="E9" s="50">
        <f>DATA!$C$47-2</f>
        <v>463</v>
      </c>
      <c r="F9" s="50" t="s">
        <v>168</v>
      </c>
      <c r="G9" s="50" t="str">
        <f>B9&amp;""&amp;C9&amp;""&amp;D9&amp;""&amp;E9&amp;""&amp;F9</f>
        <v>0.15DDPx463mm</v>
      </c>
      <c r="O9" s="88" t="str">
        <f>IF(DATA!C81="Paper", G9, G11)</f>
        <v>0.15DDPx463mm</v>
      </c>
      <c r="P9" s="50" t="s">
        <v>297</v>
      </c>
    </row>
    <row r="10" spans="1:17">
      <c r="A10" s="50" t="s">
        <v>270</v>
      </c>
      <c r="B10" s="50" t="str">
        <f>"(START THK "&amp;DATA!C84&amp;"/END THK "&amp;DATA!C85&amp;")"</f>
        <v>(START THK 0.15/END THK 1.425)</v>
      </c>
      <c r="D10" s="50" t="s">
        <v>173</v>
      </c>
      <c r="E10" s="50">
        <f>DATA!$C$47-2</f>
        <v>463</v>
      </c>
      <c r="F10" s="50" t="s">
        <v>168</v>
      </c>
      <c r="G10" s="50" t="str">
        <f t="shared" ref="G10" si="1">B10&amp;""&amp;C10&amp;""&amp;D10&amp;""&amp;E10&amp;""&amp;F10</f>
        <v>(START THK 0.15/END THK 1.425)x463mm</v>
      </c>
      <c r="H10" s="50" t="str">
        <f>DATA!C85&amp;""&amp;D10&amp;""&amp;E10&amp;""&amp;F10&amp;" STRIP LAYER"</f>
        <v>1.425x463mm STRIP LAYER</v>
      </c>
      <c r="O10" s="88" t="str">
        <f>IF(DATA!C81="Paper", G8, G10)</f>
        <v>(0x0.15DDP+1x0.25DDP)x463mm</v>
      </c>
      <c r="P10" s="50">
        <v>4</v>
      </c>
    </row>
    <row r="11" spans="1:17">
      <c r="A11" s="50" t="s">
        <v>271</v>
      </c>
      <c r="B11" s="50">
        <v>0.15</v>
      </c>
      <c r="D11" s="50" t="s">
        <v>173</v>
      </c>
      <c r="E11" s="50">
        <f>DATA!$C$47-2</f>
        <v>463</v>
      </c>
      <c r="F11" s="50" t="s">
        <v>168</v>
      </c>
      <c r="G11" s="50" t="str">
        <f>B11&amp;""&amp;C11&amp;""&amp;D11&amp;""&amp;E11&amp;""&amp;F11&amp;" STRIP LAYER"</f>
        <v>0.15x463mm STRIP LAYER</v>
      </c>
      <c r="O11" s="88"/>
    </row>
    <row r="12" spans="1:17">
      <c r="A12" s="50" t="s">
        <v>230</v>
      </c>
      <c r="B12" s="50">
        <v>0.25</v>
      </c>
      <c r="C12" s="43" t="s">
        <v>173</v>
      </c>
      <c r="D12" s="43">
        <f>((DATA!C47-(DATA!C49+DATA!C68*DATA!C69))/2)</f>
        <v>23.949999999999989</v>
      </c>
      <c r="E12" s="50" t="s">
        <v>168</v>
      </c>
      <c r="G12" s="43">
        <f>ROUND(D12,0)</f>
        <v>24</v>
      </c>
      <c r="O12" s="57" t="str">
        <f>B12&amp;""&amp;C12&amp;""&amp;G12&amp;""&amp;E12&amp;""&amp;F12</f>
        <v>0.25x24mm</v>
      </c>
    </row>
    <row r="13" spans="1:17">
      <c r="A13" s="50" t="s">
        <v>232</v>
      </c>
      <c r="B13" s="50">
        <f>DATA!C71</f>
        <v>4.58</v>
      </c>
      <c r="C13" s="50" t="s">
        <v>169</v>
      </c>
      <c r="O13" s="88" t="str">
        <f t="shared" si="0"/>
        <v>4.58kg</v>
      </c>
    </row>
    <row r="14" spans="1:17">
      <c r="O14" s="88"/>
    </row>
    <row r="15" spans="1:17">
      <c r="A15" s="50" t="s">
        <v>233</v>
      </c>
      <c r="B15" s="50">
        <f>HV!AB13+HV!Z13</f>
        <v>4.5</v>
      </c>
      <c r="C15" s="50" t="s">
        <v>173</v>
      </c>
      <c r="D15" s="43">
        <f>ROUND(HV!X13,0)</f>
        <v>0</v>
      </c>
      <c r="E15" s="50" t="s">
        <v>173</v>
      </c>
      <c r="F15" s="50">
        <f>HV!Y13</f>
        <v>463</v>
      </c>
      <c r="G15" s="50" t="s">
        <v>168</v>
      </c>
      <c r="N15" s="43" t="str">
        <f>B16&amp;" CD - "&amp;B15&amp;""&amp;C15&amp;""&amp;D15&amp;""&amp;E15&amp;""&amp;F15&amp;""&amp;G15&amp;"x"&amp;HV!AD13</f>
        <v>N/A CD - 4.5x0x463mmx0</v>
      </c>
      <c r="O15" s="88" t="str">
        <f>IF(DATA!$C$44&lt;=1, N15, "")</f>
        <v>N/A CD - 4.5x0x463mmx0</v>
      </c>
    </row>
    <row r="16" spans="1:17">
      <c r="A16" s="50" t="s">
        <v>233</v>
      </c>
      <c r="B16" s="50" t="str">
        <f>IF(DATA!C44&gt;=1, "FULL", IF(DATA!C44&gt;=0.67, "2/3", IF(DATA!C44&gt;=0.33, "1/3",IF(DATA!C44&gt;=0, "N/A"))))</f>
        <v>N/A</v>
      </c>
      <c r="O16" s="88"/>
    </row>
    <row r="17" spans="1:15">
      <c r="A17" s="50" t="s">
        <v>234</v>
      </c>
      <c r="B17" s="43">
        <f>HV!X13/HV!AA13</f>
        <v>0</v>
      </c>
      <c r="N17" s="43">
        <f>ROUND(B17,0)</f>
        <v>0</v>
      </c>
      <c r="O17" s="88">
        <f>IF(DATA!$C$44&lt;=1, N17, "")</f>
        <v>0</v>
      </c>
    </row>
    <row r="18" spans="1:15">
      <c r="A18" s="50" t="s">
        <v>235</v>
      </c>
      <c r="B18" s="50">
        <f>(DATA!C75*(1+DATA!C44/2))/(2+DATA!C44+DATA!C45)</f>
        <v>5.5</v>
      </c>
      <c r="C18" s="50">
        <f>ROUNDDOWN(B18, 0)</f>
        <v>5</v>
      </c>
      <c r="D18" s="50" t="s">
        <v>179</v>
      </c>
      <c r="E18" s="50">
        <f>C18+1</f>
        <v>6</v>
      </c>
      <c r="N18" s="43" t="str">
        <f>C18&amp;""&amp;D18&amp;""&amp;E18&amp;""&amp;F18</f>
        <v>5&amp;6</v>
      </c>
      <c r="O18" s="88" t="str">
        <f>IF(DATA!$C$44&lt;=1, N18, "")</f>
        <v>5&amp;6</v>
      </c>
    </row>
    <row r="19" spans="1:15">
      <c r="A19" s="50" t="s">
        <v>249</v>
      </c>
      <c r="B19" s="50">
        <f>HV!AB14+HV!Z14</f>
        <v>0</v>
      </c>
      <c r="C19" s="50" t="s">
        <v>173</v>
      </c>
      <c r="D19" s="43">
        <f>ROUND(HV!X14,0)</f>
        <v>0</v>
      </c>
      <c r="E19" s="50" t="s">
        <v>173</v>
      </c>
      <c r="F19" s="50" t="str">
        <f>HV!Y14</f>
        <v>0</v>
      </c>
      <c r="G19" s="50" t="s">
        <v>168</v>
      </c>
      <c r="N19" s="43" t="str">
        <f>B20&amp;" CD - "&amp;B19&amp;""&amp;C19&amp;""&amp;D19&amp;""&amp;E19&amp;""&amp;F19&amp;""&amp;G19&amp;"x"&amp;HV!AD14</f>
        <v xml:space="preserve"> CD - 0x0x0mmx0</v>
      </c>
      <c r="O19" s="88" t="str">
        <f>IF(DATA!$C$45&gt;0, N19, "")</f>
        <v/>
      </c>
    </row>
    <row r="20" spans="1:15">
      <c r="A20" s="50" t="s">
        <v>249</v>
      </c>
      <c r="B20" s="50" t="str">
        <f>IF(DATA!C45&gt;=1, "FULL", IF(DATA!C45&gt;=0.67, "2/3", IF(DATA!C45&gt;=0.33, "1/3",IF(DATA!C45&gt;=0, ""))))</f>
        <v/>
      </c>
      <c r="O20" s="88"/>
    </row>
    <row r="21" spans="1:15">
      <c r="A21" s="50" t="s">
        <v>250</v>
      </c>
      <c r="B21" s="43" t="e">
        <f>HV!X14/HV!AA14</f>
        <v>#DIV/0!</v>
      </c>
      <c r="N21" s="43" t="e">
        <f>ROUND(B21, 0)</f>
        <v>#DIV/0!</v>
      </c>
      <c r="O21" s="88" t="str">
        <f>IF(DATA!$C$45&gt;0, N21, "")</f>
        <v/>
      </c>
    </row>
    <row r="22" spans="1:15">
      <c r="A22" s="50" t="s">
        <v>251</v>
      </c>
      <c r="B22" s="50">
        <f>(DATA!C75*(1+(DATA!C44*2)+DATA!C45)/(2+DATA!C44*2+DATA!C45*2))</f>
        <v>5.5</v>
      </c>
      <c r="C22" s="50">
        <f>ROUNDDOWN(B22, 0)</f>
        <v>5</v>
      </c>
      <c r="D22" s="50" t="s">
        <v>179</v>
      </c>
      <c r="E22" s="50">
        <f>C22+1</f>
        <v>6</v>
      </c>
      <c r="N22" s="43" t="str">
        <f>C22&amp;D22&amp;E22</f>
        <v>5&amp;6</v>
      </c>
      <c r="O22" s="88" t="str">
        <f>IF(DATA!$C$45&gt;0, N22, "")</f>
        <v/>
      </c>
    </row>
    <row r="23" spans="1:15">
      <c r="O23" s="88"/>
    </row>
    <row r="24" spans="1:15">
      <c r="A24" s="50" t="s">
        <v>236</v>
      </c>
      <c r="O24" s="88"/>
    </row>
    <row r="25" spans="1:15">
      <c r="A25" s="50" t="s">
        <v>237</v>
      </c>
      <c r="B25" s="50">
        <f>DATA!C38</f>
        <v>8</v>
      </c>
      <c r="O25" s="88"/>
    </row>
    <row r="26" spans="1:15">
      <c r="A26" s="50" t="s">
        <v>238</v>
      </c>
      <c r="B26" s="50" t="str">
        <f>HV!AA28</f>
        <v>8</v>
      </c>
      <c r="O26" s="88"/>
    </row>
    <row r="27" spans="1:15">
      <c r="A27" s="50" t="s">
        <v>239</v>
      </c>
      <c r="B27" s="50">
        <v>0.25</v>
      </c>
      <c r="O27" s="88"/>
    </row>
    <row r="28" spans="1:15">
      <c r="A28" s="50" t="s">
        <v>240</v>
      </c>
      <c r="B28" s="50" t="str">
        <f>IF(AND(DATA!C6&lt;=11000,DATA!C5&lt;=250),"0",IF(AND(DATA!C6&lt;=11000,DATA!C5&gt;=251),"0",IF(AND(DATA!C6&gt;=33000,DATA!C5&lt;=250),"1",IF(AND(DATA!C6&gt;=33000,DATA!C5&gt;=251),"1","?"))))</f>
        <v>0</v>
      </c>
      <c r="O28" s="88"/>
    </row>
    <row r="29" spans="1:15">
      <c r="O29" s="88" t="str">
        <f t="shared" ref="O29" si="2">B29&amp;""&amp;C29&amp;""&amp;D29&amp;""&amp;E29&amp;""&amp;F29</f>
        <v/>
      </c>
    </row>
    <row r="30" spans="1:15">
      <c r="B30" s="50">
        <f>DATA!C38</f>
        <v>8</v>
      </c>
      <c r="C30" s="50" t="s">
        <v>245</v>
      </c>
      <c r="D30" s="50" t="str">
        <f>HV!AA28</f>
        <v>8</v>
      </c>
      <c r="E30" s="50" t="s">
        <v>246</v>
      </c>
      <c r="F30" s="50">
        <f>B27</f>
        <v>0.25</v>
      </c>
      <c r="G30" s="50" t="s">
        <v>231</v>
      </c>
      <c r="H30" s="50" t="s">
        <v>173</v>
      </c>
      <c r="I30" s="50">
        <f>(DATA!C38-HV!AA28-B28)/B27</f>
        <v>0</v>
      </c>
      <c r="J30" s="50" t="s">
        <v>246</v>
      </c>
      <c r="K30" s="50" t="str">
        <f>B28</f>
        <v>0</v>
      </c>
      <c r="L30" s="50" t="s">
        <v>252</v>
      </c>
      <c r="M30" s="50" t="s">
        <v>247</v>
      </c>
      <c r="O30" s="88" t="str">
        <f>B30&amp;" "&amp;C30&amp;""&amp;D30&amp;""&amp;E30&amp;""&amp;F30&amp;""&amp;G30&amp;""&amp;H30&amp;""&amp;I30&amp;""&amp;J30&amp;""&amp;K30&amp;" "&amp;L30&amp;""&amp;M30</f>
        <v>8 (8+0.25DDPx0+0 Tol)</v>
      </c>
    </row>
    <row r="31" spans="1:15">
      <c r="N31" s="43" t="str">
        <f t="shared" ref="N31:N37" si="3">B31&amp;""&amp;C31&amp;""&amp;D31&amp;""&amp;E31&amp;""&amp;F31</f>
        <v/>
      </c>
    </row>
    <row r="32" spans="1:15">
      <c r="A32" s="37" t="s">
        <v>306</v>
      </c>
      <c r="N32" s="43" t="str">
        <f t="shared" si="3"/>
        <v/>
      </c>
      <c r="O32" s="89" t="str">
        <f>DATA!C72&amp;" @ 75C AT NOMINAL TAPPING"</f>
        <v>0.9962 @ 75C AT NOMINAL TAPPING</v>
      </c>
    </row>
    <row r="33" spans="14:14">
      <c r="N33" s="43" t="str">
        <f t="shared" si="3"/>
        <v/>
      </c>
    </row>
    <row r="34" spans="14:14">
      <c r="N34" s="43" t="str">
        <f t="shared" si="3"/>
        <v/>
      </c>
    </row>
    <row r="35" spans="14:14">
      <c r="N35" s="43" t="str">
        <f t="shared" si="3"/>
        <v/>
      </c>
    </row>
    <row r="36" spans="14:14">
      <c r="N36" s="43" t="str">
        <f t="shared" si="3"/>
        <v/>
      </c>
    </row>
    <row r="37" spans="14:14">
      <c r="N37" s="43" t="str">
        <f t="shared" si="3"/>
        <v/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FB57-EC84-4565-9E71-0A01B58A5B56}">
  <dimension ref="A1:G133"/>
  <sheetViews>
    <sheetView workbookViewId="0">
      <selection activeCell="K29" sqref="K29"/>
    </sheetView>
  </sheetViews>
  <sheetFormatPr baseColWidth="10" defaultColWidth="8.83203125" defaultRowHeight="15"/>
  <cols>
    <col min="1" max="1" width="22.1640625" style="53" customWidth="1"/>
    <col min="2" max="2" width="17" style="37" customWidth="1"/>
    <col min="3" max="3" width="10.1640625" style="52" customWidth="1"/>
    <col min="4" max="4" width="24.5" style="50" customWidth="1"/>
    <col min="5" max="5" width="25.83203125" style="37" hidden="1" customWidth="1"/>
    <col min="6" max="6" width="19.5" hidden="1" customWidth="1"/>
    <col min="7" max="7" width="20.5" hidden="1" customWidth="1"/>
  </cols>
  <sheetData>
    <row r="1" spans="1:7">
      <c r="A1" s="53">
        <f>0*0.15+0*0.25</f>
        <v>0</v>
      </c>
      <c r="B1" s="37" t="s">
        <v>274</v>
      </c>
      <c r="C1" s="52" t="s">
        <v>285</v>
      </c>
      <c r="D1" s="50" t="str" cm="1">
        <f t="array" ref="D1">IF(ROW()-ROW($E$1)+1&gt;COUNTA($B$1:$B$19)*COUNTA($C$1:$C$19),"",INDEX($B$1:$B$19,INT((ROW()-ROW($E$1))/COUNTA($C$1:$C$19)+1))&amp;"+"&amp;INDEX($C$1:$C$19,MOD(ROW()-ROW($E$1),COUNTA($C$1:$C$19))+1))</f>
        <v>0x0.15DDP+0x0.25DDP</v>
      </c>
      <c r="E1" s="37" t="str">
        <f>REPLACE(D1, 2, 1, "*")</f>
        <v>0*0.15DDP+0x0.25DDP</v>
      </c>
      <c r="F1" s="37" t="str">
        <f>REPLACE(E1, 9, 1, "*")</f>
        <v>0*0.15DD*+0x0.25DDP</v>
      </c>
      <c r="G1" s="37" t="str">
        <f>REPLACE(F1, 1, 0, "=")</f>
        <v>=0*0.15DD*+0x0.25DDP</v>
      </c>
    </row>
    <row r="2" spans="1:7">
      <c r="A2" s="53">
        <f>0*0.15+1*0.25</f>
        <v>0.25</v>
      </c>
      <c r="B2" s="37" t="s">
        <v>275</v>
      </c>
      <c r="C2" s="52" t="s">
        <v>286</v>
      </c>
      <c r="D2" s="50" t="str" cm="1">
        <f t="array" ref="D2">IF(ROW()-ROW($E$1)+1&gt;COUNTA($B$1:$B$19)*COUNTA($C$1:$C$19),"",INDEX($B$1:$B$19,INT((ROW()-ROW($E$1))/COUNTA($C$1:$C$19)+1))&amp;"+"&amp;INDEX($C$1:$C$19,MOD(ROW()-ROW($E$1),COUNTA($C$1:$C$19))+1))</f>
        <v>0x0.15DDP+1x0.25DDP</v>
      </c>
      <c r="E2" s="37" t="str">
        <f t="shared" ref="E2:E64" si="0">REPLACE(D2, 2, 1, "*")</f>
        <v>0*0.15DDP+1x0.25DDP</v>
      </c>
      <c r="F2" s="37" t="str">
        <f t="shared" ref="F2:F64" si="1">REPLACE(E2, 9, 1, "*")</f>
        <v>0*0.15DD*+1x0.25DDP</v>
      </c>
      <c r="G2" s="37" t="str">
        <f t="shared" ref="G2:G64" si="2">REPLACE(F2, 1, 0, "=")</f>
        <v>=0*0.15DD*+1x0.25DDP</v>
      </c>
    </row>
    <row r="3" spans="1:7">
      <c r="A3" s="53">
        <f>0*0.15+2*0.25</f>
        <v>0.5</v>
      </c>
      <c r="B3" s="37" t="s">
        <v>276</v>
      </c>
      <c r="C3" s="52" t="s">
        <v>287</v>
      </c>
      <c r="D3" s="50" t="str" cm="1">
        <f t="array" ref="D3">IF(ROW()-ROW($E$1)+1&gt;COUNTA($B$1:$B$19)*COUNTA($C$1:$C$19),"",INDEX($B$1:$B$19,INT((ROW()-ROW($E$1))/COUNTA($C$1:$C$19)+1))&amp;"+"&amp;INDEX($C$1:$C$19,MOD(ROW()-ROW($E$1),COUNTA($C$1:$C$19))+1))</f>
        <v>0x0.15DDP+2x0.25DDP</v>
      </c>
      <c r="E3" s="37" t="str">
        <f t="shared" si="0"/>
        <v>0*0.15DDP+2x0.25DDP</v>
      </c>
      <c r="F3" s="37" t="str">
        <f t="shared" si="1"/>
        <v>0*0.15DD*+2x0.25DDP</v>
      </c>
      <c r="G3" s="37" t="str">
        <f t="shared" si="2"/>
        <v>=0*0.15DD*+2x0.25DDP</v>
      </c>
    </row>
    <row r="4" spans="1:7">
      <c r="A4" s="53">
        <f>0*0.15+3*0.25</f>
        <v>0.75</v>
      </c>
      <c r="B4" s="37" t="s">
        <v>277</v>
      </c>
      <c r="C4" s="52" t="s">
        <v>288</v>
      </c>
      <c r="D4" s="50" t="str" cm="1">
        <f t="array" ref="D4">IF(ROW()-ROW($E$1)+1&gt;COUNTA($B$1:$B$19)*COUNTA($C$1:$C$19),"",INDEX($B$1:$B$19,INT((ROW()-ROW($E$1))/COUNTA($C$1:$C$19)+1))&amp;"+"&amp;INDEX($C$1:$C$19,MOD(ROW()-ROW($E$1),COUNTA($C$1:$C$19))+1))</f>
        <v>0x0.15DDP+3x0.25DDP</v>
      </c>
      <c r="E4" s="37" t="str">
        <f t="shared" si="0"/>
        <v>0*0.15DDP+3x0.25DDP</v>
      </c>
      <c r="F4" s="37" t="str">
        <f t="shared" si="1"/>
        <v>0*0.15DD*+3x0.25DDP</v>
      </c>
      <c r="G4" s="37" t="str">
        <f t="shared" si="2"/>
        <v>=0*0.15DD*+3x0.25DDP</v>
      </c>
    </row>
    <row r="5" spans="1:7">
      <c r="A5" s="53">
        <f>0*0.15+4*0.25</f>
        <v>1</v>
      </c>
      <c r="B5" s="37" t="s">
        <v>278</v>
      </c>
      <c r="C5" s="52" t="s">
        <v>289</v>
      </c>
      <c r="D5" s="50" t="str" cm="1">
        <f t="array" ref="D5">IF(ROW()-ROW($E$1)+1&gt;COUNTA($B$1:$B$19)*COUNTA($C$1:$C$19),"",INDEX($B$1:$B$19,INT((ROW()-ROW($E$1))/COUNTA($C$1:$C$19)+1))&amp;"+"&amp;INDEX($C$1:$C$19,MOD(ROW()-ROW($E$1),COUNTA($C$1:$C$19))+1))</f>
        <v>0x0.15DDP+4x0.25DDP</v>
      </c>
      <c r="E5" s="37" t="str">
        <f t="shared" si="0"/>
        <v>0*0.15DDP+4x0.25DDP</v>
      </c>
      <c r="F5" s="37" t="str">
        <f t="shared" si="1"/>
        <v>0*0.15DD*+4x0.25DDP</v>
      </c>
      <c r="G5" s="37" t="str">
        <f t="shared" si="2"/>
        <v>=0*0.15DD*+4x0.25DDP</v>
      </c>
    </row>
    <row r="6" spans="1:7">
      <c r="A6" s="53">
        <f>0*0.15+5*0.25</f>
        <v>1.25</v>
      </c>
      <c r="B6" s="37" t="s">
        <v>279</v>
      </c>
      <c r="C6" s="52" t="s">
        <v>290</v>
      </c>
      <c r="D6" s="50" t="str" cm="1">
        <f t="array" ref="D6">IF(ROW()-ROW($E$1)+1&gt;COUNTA($B$1:$B$19)*COUNTA($C$1:$C$19),"",INDEX($B$1:$B$19,INT((ROW()-ROW($E$1))/COUNTA($C$1:$C$19)+1))&amp;"+"&amp;INDEX($C$1:$C$19,MOD(ROW()-ROW($E$1),COUNTA($C$1:$C$19))+1))</f>
        <v>0x0.15DDP+5x0.25DDP</v>
      </c>
      <c r="E6" s="37" t="str">
        <f t="shared" si="0"/>
        <v>0*0.15DDP+5x0.25DDP</v>
      </c>
      <c r="F6" s="37" t="str">
        <f t="shared" si="1"/>
        <v>0*0.15DD*+5x0.25DDP</v>
      </c>
      <c r="G6" s="37" t="str">
        <f t="shared" si="2"/>
        <v>=0*0.15DD*+5x0.25DDP</v>
      </c>
    </row>
    <row r="7" spans="1:7">
      <c r="A7" s="53">
        <f>0*0.15+6*0.25</f>
        <v>1.5</v>
      </c>
      <c r="B7" s="37" t="s">
        <v>280</v>
      </c>
      <c r="C7" s="52" t="s">
        <v>291</v>
      </c>
      <c r="D7" s="50" t="str" cm="1">
        <f t="array" ref="D7">IF(ROW()-ROW($E$1)+1&gt;COUNTA($B$1:$B$19)*COUNTA($C$1:$C$19),"",INDEX($B$1:$B$19,INT((ROW()-ROW($E$1))/COUNTA($C$1:$C$19)+1))&amp;"+"&amp;INDEX($C$1:$C$19,MOD(ROW()-ROW($E$1),COUNTA($C$1:$C$19))+1))</f>
        <v>0x0.15DDP+6x0.25DDP</v>
      </c>
      <c r="E7" s="37" t="str">
        <f t="shared" si="0"/>
        <v>0*0.15DDP+6x0.25DDP</v>
      </c>
      <c r="F7" s="37" t="str">
        <f t="shared" si="1"/>
        <v>0*0.15DD*+6x0.25DDP</v>
      </c>
      <c r="G7" s="37" t="str">
        <f t="shared" si="2"/>
        <v>=0*0.15DD*+6x0.25DDP</v>
      </c>
    </row>
    <row r="8" spans="1:7">
      <c r="A8" s="53">
        <f>0*0.15+7*0.25</f>
        <v>1.75</v>
      </c>
      <c r="B8" s="37" t="s">
        <v>281</v>
      </c>
      <c r="C8" s="52" t="s">
        <v>292</v>
      </c>
      <c r="D8" s="50" t="str" cm="1">
        <f t="array" ref="D8">IF(ROW()-ROW($E$1)+1&gt;COUNTA($B$1:$B$19)*COUNTA($C$1:$C$19),"",INDEX($B$1:$B$19,INT((ROW()-ROW($E$1))/COUNTA($C$1:$C$19)+1))&amp;"+"&amp;INDEX($C$1:$C$19,MOD(ROW()-ROW($E$1),COUNTA($C$1:$C$19))+1))</f>
        <v>0x0.15DDP+7x0.25DDP</v>
      </c>
      <c r="E8" s="37" t="str">
        <f t="shared" si="0"/>
        <v>0*0.15DDP+7x0.25DDP</v>
      </c>
      <c r="F8" s="37" t="str">
        <f t="shared" si="1"/>
        <v>0*0.15DD*+7x0.25DDP</v>
      </c>
      <c r="G8" s="37" t="str">
        <f t="shared" si="2"/>
        <v>=0*0.15DD*+7x0.25DDP</v>
      </c>
    </row>
    <row r="9" spans="1:7">
      <c r="A9" s="53">
        <f>0*0.15+8*0.25</f>
        <v>2</v>
      </c>
      <c r="B9" s="37" t="s">
        <v>282</v>
      </c>
      <c r="C9" s="52" t="s">
        <v>293</v>
      </c>
      <c r="D9" s="50" t="str" cm="1">
        <f t="array" ref="D9">IF(ROW()-ROW($E$1)+1&gt;COUNTA($B$1:$B$19)*COUNTA($C$1:$C$19),"",INDEX($B$1:$B$19,INT((ROW()-ROW($E$1))/COUNTA($C$1:$C$19)+1))&amp;"+"&amp;INDEX($C$1:$C$19,MOD(ROW()-ROW($E$1),COUNTA($C$1:$C$19))+1))</f>
        <v>0x0.15DDP+8x0.25DDP</v>
      </c>
      <c r="E9" s="37" t="str">
        <f t="shared" si="0"/>
        <v>0*0.15DDP+8x0.25DDP</v>
      </c>
      <c r="F9" s="37" t="str">
        <f t="shared" si="1"/>
        <v>0*0.15DD*+8x0.25DDP</v>
      </c>
      <c r="G9" s="37" t="str">
        <f t="shared" si="2"/>
        <v>=0*0.15DD*+8x0.25DDP</v>
      </c>
    </row>
    <row r="10" spans="1:7">
      <c r="A10" s="53">
        <f>0*0.15+9*0.25</f>
        <v>2.25</v>
      </c>
      <c r="B10" s="37" t="s">
        <v>283</v>
      </c>
      <c r="C10" s="52" t="s">
        <v>294</v>
      </c>
      <c r="D10" s="50" t="str" cm="1">
        <f t="array" ref="D10">IF(ROW()-ROW($E$1)+1&gt;COUNTA($B$1:$B$19)*COUNTA($C$1:$C$19),"",INDEX($B$1:$B$19,INT((ROW()-ROW($E$1))/COUNTA($C$1:$C$19)+1))&amp;"+"&amp;INDEX($C$1:$C$19,MOD(ROW()-ROW($E$1),COUNTA($C$1:$C$19))+1))</f>
        <v>0x0.15DDP+9x0.25DDP</v>
      </c>
      <c r="E10" s="37" t="str">
        <f t="shared" si="0"/>
        <v>0*0.15DDP+9x0.25DDP</v>
      </c>
      <c r="F10" s="37" t="str">
        <f t="shared" si="1"/>
        <v>0*0.15DD*+9x0.25DDP</v>
      </c>
      <c r="G10" s="37" t="str">
        <f t="shared" si="2"/>
        <v>=0*0.15DD*+9x0.25DDP</v>
      </c>
    </row>
    <row r="11" spans="1:7">
      <c r="A11" s="53">
        <f>0*0.15+10*0.25</f>
        <v>2.5</v>
      </c>
      <c r="B11" s="37" t="s">
        <v>284</v>
      </c>
      <c r="C11" s="52" t="s">
        <v>295</v>
      </c>
      <c r="D11" s="50" t="str" cm="1">
        <f t="array" ref="D11">IF(ROW()-ROW($E$1)+1&gt;COUNTA($B$1:$B$19)*COUNTA($C$1:$C$19),"",INDEX($B$1:$B$19,INT((ROW()-ROW($E$1))/COUNTA($C$1:$C$19)+1))&amp;"+"&amp;INDEX($C$1:$C$19,MOD(ROW()-ROW($E$1),COUNTA($C$1:$C$19))+1))</f>
        <v>0x0.15DDP+10x0.25DDP</v>
      </c>
      <c r="E11" s="37" t="str">
        <f t="shared" si="0"/>
        <v>0*0.15DDP+10x0.25DDP</v>
      </c>
      <c r="F11" s="37" t="str">
        <f t="shared" si="1"/>
        <v>0*0.15DD*+10x0.25DDP</v>
      </c>
      <c r="G11" s="37" t="str">
        <f t="shared" si="2"/>
        <v>=0*0.15DD*+10x0.25DDP</v>
      </c>
    </row>
    <row r="12" spans="1:7">
      <c r="A12" s="53">
        <f>1*0.15+0*0.25</f>
        <v>0.15</v>
      </c>
      <c r="D12" s="50" t="str" cm="1">
        <f t="array" ref="D12">IF(ROW()-ROW($E$1)+1&gt;COUNTA($B$1:$B$19)*COUNTA($C$1:$C$19),"",INDEX($B$1:$B$19,INT((ROW()-ROW($E$1))/COUNTA($C$1:$C$19)+1))&amp;"+"&amp;INDEX($C$1:$C$19,MOD(ROW()-ROW($E$1),COUNTA($C$1:$C$19))+1))</f>
        <v>1x0.15DDP+0x0.25DDP</v>
      </c>
      <c r="E12" s="37" t="str">
        <f t="shared" si="0"/>
        <v>1*0.15DDP+0x0.25DDP</v>
      </c>
      <c r="F12" s="37" t="str">
        <f t="shared" si="1"/>
        <v>1*0.15DD*+0x0.25DDP</v>
      </c>
      <c r="G12" s="37" t="str">
        <f t="shared" si="2"/>
        <v>=1*0.15DD*+0x0.25DDP</v>
      </c>
    </row>
    <row r="13" spans="1:7">
      <c r="A13" s="53">
        <f>1*0.15+1*0.25</f>
        <v>0.4</v>
      </c>
      <c r="D13" s="50" t="str" cm="1">
        <f t="array" ref="D13">IF(ROW()-ROW($E$1)+1&gt;COUNTA($B$1:$B$19)*COUNTA($C$1:$C$19),"",INDEX($B$1:$B$19,INT((ROW()-ROW($E$1))/COUNTA($C$1:$C$19)+1))&amp;"+"&amp;INDEX($C$1:$C$19,MOD(ROW()-ROW($E$1),COUNTA($C$1:$C$19))+1))</f>
        <v>1x0.15DDP+1x0.25DDP</v>
      </c>
      <c r="E13" s="37" t="str">
        <f t="shared" si="0"/>
        <v>1*0.15DDP+1x0.25DDP</v>
      </c>
      <c r="F13" s="37" t="str">
        <f t="shared" si="1"/>
        <v>1*0.15DD*+1x0.25DDP</v>
      </c>
      <c r="G13" s="37" t="str">
        <f t="shared" si="2"/>
        <v>=1*0.15DD*+1x0.25DDP</v>
      </c>
    </row>
    <row r="14" spans="1:7">
      <c r="A14" s="53">
        <f>1*0.15+2*0.25</f>
        <v>0.65</v>
      </c>
      <c r="D14" s="50" t="str" cm="1">
        <f t="array" ref="D14">IF(ROW()-ROW($E$1)+1&gt;COUNTA($B$1:$B$19)*COUNTA($C$1:$C$19),"",INDEX($B$1:$B$19,INT((ROW()-ROW($E$1))/COUNTA($C$1:$C$19)+1))&amp;"+"&amp;INDEX($C$1:$C$19,MOD(ROW()-ROW($E$1),COUNTA($C$1:$C$19))+1))</f>
        <v>1x0.15DDP+2x0.25DDP</v>
      </c>
      <c r="E14" s="37" t="str">
        <f t="shared" si="0"/>
        <v>1*0.15DDP+2x0.25DDP</v>
      </c>
      <c r="F14" s="37" t="str">
        <f t="shared" si="1"/>
        <v>1*0.15DD*+2x0.25DDP</v>
      </c>
      <c r="G14" s="37" t="str">
        <f t="shared" si="2"/>
        <v>=1*0.15DD*+2x0.25DDP</v>
      </c>
    </row>
    <row r="15" spans="1:7">
      <c r="A15" s="53">
        <f>1*0.15+3*0.25</f>
        <v>0.9</v>
      </c>
      <c r="D15" s="50" t="str" cm="1">
        <f t="array" ref="D15">IF(ROW()-ROW($E$1)+1&gt;COUNTA($B$1:$B$19)*COUNTA($C$1:$C$19),"",INDEX($B$1:$B$19,INT((ROW()-ROW($E$1))/COUNTA($C$1:$C$19)+1))&amp;"+"&amp;INDEX($C$1:$C$19,MOD(ROW()-ROW($E$1),COUNTA($C$1:$C$19))+1))</f>
        <v>1x0.15DDP+3x0.25DDP</v>
      </c>
      <c r="E15" s="37" t="str">
        <f t="shared" si="0"/>
        <v>1*0.15DDP+3x0.25DDP</v>
      </c>
      <c r="F15" s="37" t="str">
        <f t="shared" si="1"/>
        <v>1*0.15DD*+3x0.25DDP</v>
      </c>
      <c r="G15" s="37" t="str">
        <f t="shared" si="2"/>
        <v>=1*0.15DD*+3x0.25DDP</v>
      </c>
    </row>
    <row r="16" spans="1:7">
      <c r="A16" s="53">
        <f>1*0.15+4*0.25</f>
        <v>1.1499999999999999</v>
      </c>
      <c r="D16" s="50" t="str" cm="1">
        <f t="array" ref="D16">IF(ROW()-ROW($E$1)+1&gt;COUNTA($B$1:$B$19)*COUNTA($C$1:$C$19),"",INDEX($B$1:$B$19,INT((ROW()-ROW($E$1))/COUNTA($C$1:$C$19)+1))&amp;"+"&amp;INDEX($C$1:$C$19,MOD(ROW()-ROW($E$1),COUNTA($C$1:$C$19))+1))</f>
        <v>1x0.15DDP+4x0.25DDP</v>
      </c>
      <c r="E16" s="37" t="str">
        <f t="shared" si="0"/>
        <v>1*0.15DDP+4x0.25DDP</v>
      </c>
      <c r="F16" s="37" t="str">
        <f t="shared" si="1"/>
        <v>1*0.15DD*+4x0.25DDP</v>
      </c>
      <c r="G16" s="37" t="str">
        <f t="shared" si="2"/>
        <v>=1*0.15DD*+4x0.25DDP</v>
      </c>
    </row>
    <row r="17" spans="1:7">
      <c r="A17" s="53">
        <f>1*0.15+5*0.25</f>
        <v>1.4</v>
      </c>
      <c r="D17" s="50" t="str" cm="1">
        <f t="array" ref="D17">IF(ROW()-ROW($E$1)+1&gt;COUNTA($B$1:$B$19)*COUNTA($C$1:$C$19),"",INDEX($B$1:$B$19,INT((ROW()-ROW($E$1))/COUNTA($C$1:$C$19)+1))&amp;"+"&amp;INDEX($C$1:$C$19,MOD(ROW()-ROW($E$1),COUNTA($C$1:$C$19))+1))</f>
        <v>1x0.15DDP+5x0.25DDP</v>
      </c>
      <c r="E17" s="37" t="str">
        <f t="shared" si="0"/>
        <v>1*0.15DDP+5x0.25DDP</v>
      </c>
      <c r="F17" s="37" t="str">
        <f t="shared" si="1"/>
        <v>1*0.15DD*+5x0.25DDP</v>
      </c>
      <c r="G17" s="37" t="str">
        <f t="shared" si="2"/>
        <v>=1*0.15DD*+5x0.25DDP</v>
      </c>
    </row>
    <row r="18" spans="1:7">
      <c r="A18" s="53">
        <f>1*0.15+6*0.25</f>
        <v>1.65</v>
      </c>
      <c r="D18" s="50" t="str" cm="1">
        <f t="array" ref="D18">IF(ROW()-ROW($E$1)+1&gt;COUNTA($B$1:$B$19)*COUNTA($C$1:$C$19),"",INDEX($B$1:$B$19,INT((ROW()-ROW($E$1))/COUNTA($C$1:$C$19)+1))&amp;"+"&amp;INDEX($C$1:$C$19,MOD(ROW()-ROW($E$1),COUNTA($C$1:$C$19))+1))</f>
        <v>1x0.15DDP+6x0.25DDP</v>
      </c>
      <c r="E18" s="37" t="str">
        <f t="shared" si="0"/>
        <v>1*0.15DDP+6x0.25DDP</v>
      </c>
      <c r="F18" s="37" t="str">
        <f t="shared" si="1"/>
        <v>1*0.15DD*+6x0.25DDP</v>
      </c>
      <c r="G18" s="37" t="str">
        <f t="shared" si="2"/>
        <v>=1*0.15DD*+6x0.25DDP</v>
      </c>
    </row>
    <row r="19" spans="1:7">
      <c r="A19" s="53">
        <f>1*0.15+7*0.25</f>
        <v>1.9</v>
      </c>
      <c r="D19" s="50" t="str" cm="1">
        <f t="array" ref="D19">IF(ROW()-ROW($E$1)+1&gt;COUNTA($B$1:$B$19)*COUNTA($C$1:$C$19),"",INDEX($B$1:$B$19,INT((ROW()-ROW($E$1))/COUNTA($C$1:$C$19)+1))&amp;"+"&amp;INDEX($C$1:$C$19,MOD(ROW()-ROW($E$1),COUNTA($C$1:$C$19))+1))</f>
        <v>1x0.15DDP+7x0.25DDP</v>
      </c>
      <c r="E19" s="37" t="str">
        <f t="shared" si="0"/>
        <v>1*0.15DDP+7x0.25DDP</v>
      </c>
      <c r="F19" s="37" t="str">
        <f t="shared" si="1"/>
        <v>1*0.15DD*+7x0.25DDP</v>
      </c>
      <c r="G19" s="37" t="str">
        <f t="shared" si="2"/>
        <v>=1*0.15DD*+7x0.25DDP</v>
      </c>
    </row>
    <row r="20" spans="1:7">
      <c r="A20" s="53">
        <f>1*0.15+8*0.25</f>
        <v>2.15</v>
      </c>
      <c r="D20" s="50" t="str" cm="1">
        <f t="array" ref="D20">IF(ROW()-ROW($E$1)+1&gt;COUNTA($B$1:$B$19)*COUNTA($C$1:$C$19),"",INDEX($B$1:$B$19,INT((ROW()-ROW($E$1))/COUNTA($C$1:$C$19)+1))&amp;"+"&amp;INDEX($C$1:$C$19,MOD(ROW()-ROW($E$1),COUNTA($C$1:$C$19))+1))</f>
        <v>1x0.15DDP+8x0.25DDP</v>
      </c>
      <c r="E20" s="37" t="str">
        <f t="shared" si="0"/>
        <v>1*0.15DDP+8x0.25DDP</v>
      </c>
      <c r="F20" s="37" t="str">
        <f t="shared" si="1"/>
        <v>1*0.15DD*+8x0.25DDP</v>
      </c>
      <c r="G20" s="37" t="str">
        <f t="shared" si="2"/>
        <v>=1*0.15DD*+8x0.25DDP</v>
      </c>
    </row>
    <row r="21" spans="1:7">
      <c r="A21" s="53">
        <f>1*0.15+9*0.25</f>
        <v>2.4</v>
      </c>
      <c r="D21" s="50" t="str" cm="1">
        <f t="array" ref="D21">IF(ROW()-ROW($E$1)+1&gt;COUNTA($B$1:$B$19)*COUNTA($C$1:$C$19),"",INDEX($B$1:$B$19,INT((ROW()-ROW($E$1))/COUNTA($C$1:$C$19)+1))&amp;"+"&amp;INDEX($C$1:$C$19,MOD(ROW()-ROW($E$1),COUNTA($C$1:$C$19))+1))</f>
        <v>1x0.15DDP+9x0.25DDP</v>
      </c>
      <c r="E21" s="37" t="str">
        <f t="shared" si="0"/>
        <v>1*0.15DDP+9x0.25DDP</v>
      </c>
      <c r="F21" s="37" t="str">
        <f t="shared" si="1"/>
        <v>1*0.15DD*+9x0.25DDP</v>
      </c>
      <c r="G21" s="37" t="str">
        <f t="shared" si="2"/>
        <v>=1*0.15DD*+9x0.25DDP</v>
      </c>
    </row>
    <row r="22" spans="1:7">
      <c r="A22" s="53">
        <f>1*0.15+10*0.25</f>
        <v>2.65</v>
      </c>
      <c r="D22" s="50" t="str" cm="1">
        <f t="array" ref="D22">IF(ROW()-ROW($E$1)+1&gt;COUNTA($B$1:$B$19)*COUNTA($C$1:$C$19),"",INDEX($B$1:$B$19,INT((ROW()-ROW($E$1))/COUNTA($C$1:$C$19)+1))&amp;"+"&amp;INDEX($C$1:$C$19,MOD(ROW()-ROW($E$1),COUNTA($C$1:$C$19))+1))</f>
        <v>1x0.15DDP+10x0.25DDP</v>
      </c>
      <c r="E22" s="37" t="str">
        <f t="shared" si="0"/>
        <v>1*0.15DDP+10x0.25DDP</v>
      </c>
      <c r="F22" s="37" t="str">
        <f t="shared" si="1"/>
        <v>1*0.15DD*+10x0.25DDP</v>
      </c>
      <c r="G22" s="37" t="str">
        <f t="shared" si="2"/>
        <v>=1*0.15DD*+10x0.25DDP</v>
      </c>
    </row>
    <row r="23" spans="1:7">
      <c r="A23" s="53">
        <f>2*0.15+0*0.25</f>
        <v>0.3</v>
      </c>
      <c r="D23" s="50" t="str" cm="1">
        <f t="array" ref="D23">IF(ROW()-ROW($E$1)+1&gt;COUNTA($B$1:$B$19)*COUNTA($C$1:$C$19),"",INDEX($B$1:$B$19,INT((ROW()-ROW($E$1))/COUNTA($C$1:$C$19)+1))&amp;"+"&amp;INDEX($C$1:$C$19,MOD(ROW()-ROW($E$1),COUNTA($C$1:$C$19))+1))</f>
        <v>2x0.15DDP+0x0.25DDP</v>
      </c>
      <c r="E23" s="37" t="str">
        <f t="shared" si="0"/>
        <v>2*0.15DDP+0x0.25DDP</v>
      </c>
      <c r="F23" s="37" t="str">
        <f t="shared" si="1"/>
        <v>2*0.15DD*+0x0.25DDP</v>
      </c>
      <c r="G23" s="37" t="str">
        <f t="shared" si="2"/>
        <v>=2*0.15DD*+0x0.25DDP</v>
      </c>
    </row>
    <row r="24" spans="1:7">
      <c r="A24" s="53">
        <f>2*0.15+1*0.25</f>
        <v>0.55000000000000004</v>
      </c>
      <c r="D24" s="50" t="str" cm="1">
        <f t="array" ref="D24">IF(ROW()-ROW($E$1)+1&gt;COUNTA($B$1:$B$19)*COUNTA($C$1:$C$19),"",INDEX($B$1:$B$19,INT((ROW()-ROW($E$1))/COUNTA($C$1:$C$19)+1))&amp;"+"&amp;INDEX($C$1:$C$19,MOD(ROW()-ROW($E$1),COUNTA($C$1:$C$19))+1))</f>
        <v>2x0.15DDP+1x0.25DDP</v>
      </c>
      <c r="E24" s="37" t="str">
        <f t="shared" si="0"/>
        <v>2*0.15DDP+1x0.25DDP</v>
      </c>
      <c r="F24" s="37" t="str">
        <f t="shared" si="1"/>
        <v>2*0.15DD*+1x0.25DDP</v>
      </c>
      <c r="G24" s="37" t="str">
        <f t="shared" si="2"/>
        <v>=2*0.15DD*+1x0.25DDP</v>
      </c>
    </row>
    <row r="25" spans="1:7">
      <c r="A25" s="53">
        <f>2*0.15+2*0.25</f>
        <v>0.8</v>
      </c>
      <c r="D25" s="50" t="str" cm="1">
        <f t="array" ref="D25">IF(ROW()-ROW($E$1)+1&gt;COUNTA($B$1:$B$19)*COUNTA($C$1:$C$19),"",INDEX($B$1:$B$19,INT((ROW()-ROW($E$1))/COUNTA($C$1:$C$19)+1))&amp;"+"&amp;INDEX($C$1:$C$19,MOD(ROW()-ROW($E$1),COUNTA($C$1:$C$19))+1))</f>
        <v>2x0.15DDP+2x0.25DDP</v>
      </c>
      <c r="E25" s="37" t="str">
        <f t="shared" si="0"/>
        <v>2*0.15DDP+2x0.25DDP</v>
      </c>
      <c r="F25" s="37" t="str">
        <f t="shared" si="1"/>
        <v>2*0.15DD*+2x0.25DDP</v>
      </c>
      <c r="G25" s="37" t="str">
        <f t="shared" si="2"/>
        <v>=2*0.15DD*+2x0.25DDP</v>
      </c>
    </row>
    <row r="26" spans="1:7">
      <c r="A26" s="53">
        <f>2*0.15+3*0.25</f>
        <v>1.05</v>
      </c>
      <c r="D26" s="50" t="str" cm="1">
        <f t="array" ref="D26">IF(ROW()-ROW($E$1)+1&gt;COUNTA($B$1:$B$19)*COUNTA($C$1:$C$19),"",INDEX($B$1:$B$19,INT((ROW()-ROW($E$1))/COUNTA($C$1:$C$19)+1))&amp;"+"&amp;INDEX($C$1:$C$19,MOD(ROW()-ROW($E$1),COUNTA($C$1:$C$19))+1))</f>
        <v>2x0.15DDP+3x0.25DDP</v>
      </c>
      <c r="E26" s="37" t="str">
        <f t="shared" si="0"/>
        <v>2*0.15DDP+3x0.25DDP</v>
      </c>
      <c r="F26" s="37" t="str">
        <f t="shared" si="1"/>
        <v>2*0.15DD*+3x0.25DDP</v>
      </c>
      <c r="G26" s="37" t="str">
        <f t="shared" si="2"/>
        <v>=2*0.15DD*+3x0.25DDP</v>
      </c>
    </row>
    <row r="27" spans="1:7">
      <c r="A27" s="53">
        <f>2*0.15+4*0.25</f>
        <v>1.3</v>
      </c>
      <c r="D27" s="50" t="str" cm="1">
        <f t="array" ref="D27">IF(ROW()-ROW($E$1)+1&gt;COUNTA($B$1:$B$19)*COUNTA($C$1:$C$19),"",INDEX($B$1:$B$19,INT((ROW()-ROW($E$1))/COUNTA($C$1:$C$19)+1))&amp;"+"&amp;INDEX($C$1:$C$19,MOD(ROW()-ROW($E$1),COUNTA($C$1:$C$19))+1))</f>
        <v>2x0.15DDP+4x0.25DDP</v>
      </c>
      <c r="E27" s="37" t="str">
        <f t="shared" si="0"/>
        <v>2*0.15DDP+4x0.25DDP</v>
      </c>
      <c r="F27" s="37" t="str">
        <f t="shared" si="1"/>
        <v>2*0.15DD*+4x0.25DDP</v>
      </c>
      <c r="G27" s="37" t="str">
        <f t="shared" si="2"/>
        <v>=2*0.15DD*+4x0.25DDP</v>
      </c>
    </row>
    <row r="28" spans="1:7">
      <c r="A28" s="53">
        <f>2*0.15+5*0.25</f>
        <v>1.55</v>
      </c>
      <c r="D28" s="50" t="str" cm="1">
        <f t="array" ref="D28">IF(ROW()-ROW($E$1)+1&gt;COUNTA($B$1:$B$19)*COUNTA($C$1:$C$19),"",INDEX($B$1:$B$19,INT((ROW()-ROW($E$1))/COUNTA($C$1:$C$19)+1))&amp;"+"&amp;INDEX($C$1:$C$19,MOD(ROW()-ROW($E$1),COUNTA($C$1:$C$19))+1))</f>
        <v>2x0.15DDP+5x0.25DDP</v>
      </c>
      <c r="E28" s="37" t="str">
        <f t="shared" si="0"/>
        <v>2*0.15DDP+5x0.25DDP</v>
      </c>
      <c r="F28" s="37" t="str">
        <f t="shared" si="1"/>
        <v>2*0.15DD*+5x0.25DDP</v>
      </c>
      <c r="G28" s="37" t="str">
        <f t="shared" si="2"/>
        <v>=2*0.15DD*+5x0.25DDP</v>
      </c>
    </row>
    <row r="29" spans="1:7">
      <c r="A29" s="53">
        <f>2*0.15+6*0.25</f>
        <v>1.8</v>
      </c>
      <c r="D29" s="50" t="str" cm="1">
        <f t="array" ref="D29">IF(ROW()-ROW($E$1)+1&gt;COUNTA($B$1:$B$19)*COUNTA($C$1:$C$19),"",INDEX($B$1:$B$19,INT((ROW()-ROW($E$1))/COUNTA($C$1:$C$19)+1))&amp;"+"&amp;INDEX($C$1:$C$19,MOD(ROW()-ROW($E$1),COUNTA($C$1:$C$19))+1))</f>
        <v>2x0.15DDP+6x0.25DDP</v>
      </c>
      <c r="E29" s="37" t="str">
        <f t="shared" si="0"/>
        <v>2*0.15DDP+6x0.25DDP</v>
      </c>
      <c r="F29" s="37" t="str">
        <f t="shared" si="1"/>
        <v>2*0.15DD*+6x0.25DDP</v>
      </c>
      <c r="G29" s="37" t="str">
        <f t="shared" si="2"/>
        <v>=2*0.15DD*+6x0.25DDP</v>
      </c>
    </row>
    <row r="30" spans="1:7">
      <c r="A30" s="53">
        <f>2*0.15+7*0.25</f>
        <v>2.0499999999999998</v>
      </c>
      <c r="D30" s="50" t="str" cm="1">
        <f t="array" ref="D30">IF(ROW()-ROW($E$1)+1&gt;COUNTA($B$1:$B$19)*COUNTA($C$1:$C$19),"",INDEX($B$1:$B$19,INT((ROW()-ROW($E$1))/COUNTA($C$1:$C$19)+1))&amp;"+"&amp;INDEX($C$1:$C$19,MOD(ROW()-ROW($E$1),COUNTA($C$1:$C$19))+1))</f>
        <v>2x0.15DDP+7x0.25DDP</v>
      </c>
      <c r="E30" s="37" t="str">
        <f t="shared" si="0"/>
        <v>2*0.15DDP+7x0.25DDP</v>
      </c>
      <c r="F30" s="37" t="str">
        <f t="shared" si="1"/>
        <v>2*0.15DD*+7x0.25DDP</v>
      </c>
      <c r="G30" s="37" t="str">
        <f t="shared" si="2"/>
        <v>=2*0.15DD*+7x0.25DDP</v>
      </c>
    </row>
    <row r="31" spans="1:7">
      <c r="A31" s="53">
        <f>2*0.15+8*0.25</f>
        <v>2.2999999999999998</v>
      </c>
      <c r="D31" s="50" t="str" cm="1">
        <f t="array" ref="D31">IF(ROW()-ROW($E$1)+1&gt;COUNTA($B$1:$B$19)*COUNTA($C$1:$C$19),"",INDEX($B$1:$B$19,INT((ROW()-ROW($E$1))/COUNTA($C$1:$C$19)+1))&amp;"+"&amp;INDEX($C$1:$C$19,MOD(ROW()-ROW($E$1),COUNTA($C$1:$C$19))+1))</f>
        <v>2x0.15DDP+8x0.25DDP</v>
      </c>
      <c r="E31" s="37" t="str">
        <f t="shared" si="0"/>
        <v>2*0.15DDP+8x0.25DDP</v>
      </c>
      <c r="F31" s="37" t="str">
        <f t="shared" si="1"/>
        <v>2*0.15DD*+8x0.25DDP</v>
      </c>
      <c r="G31" s="37" t="str">
        <f t="shared" si="2"/>
        <v>=2*0.15DD*+8x0.25DDP</v>
      </c>
    </row>
    <row r="32" spans="1:7">
      <c r="A32" s="53">
        <f>2*0.15+9*0.25</f>
        <v>2.5499999999999998</v>
      </c>
      <c r="D32" s="50" t="str" cm="1">
        <f t="array" ref="D32">IF(ROW()-ROW($E$1)+1&gt;COUNTA($B$1:$B$19)*COUNTA($C$1:$C$19),"",INDEX($B$1:$B$19,INT((ROW()-ROW($E$1))/COUNTA($C$1:$C$19)+1))&amp;"+"&amp;INDEX($C$1:$C$19,MOD(ROW()-ROW($E$1),COUNTA($C$1:$C$19))+1))</f>
        <v>2x0.15DDP+9x0.25DDP</v>
      </c>
      <c r="E32" s="37" t="str">
        <f t="shared" si="0"/>
        <v>2*0.15DDP+9x0.25DDP</v>
      </c>
      <c r="F32" s="37" t="str">
        <f t="shared" si="1"/>
        <v>2*0.15DD*+9x0.25DDP</v>
      </c>
      <c r="G32" s="37" t="str">
        <f t="shared" si="2"/>
        <v>=2*0.15DD*+9x0.25DDP</v>
      </c>
    </row>
    <row r="33" spans="1:7">
      <c r="A33" s="53">
        <f>2*0.15+10*0.25</f>
        <v>2.8</v>
      </c>
      <c r="D33" s="50" t="str" cm="1">
        <f t="array" ref="D33">IF(ROW()-ROW($E$1)+1&gt;COUNTA($B$1:$B$19)*COUNTA($C$1:$C$19),"",INDEX($B$1:$B$19,INT((ROW()-ROW($E$1))/COUNTA($C$1:$C$19)+1))&amp;"+"&amp;INDEX($C$1:$C$19,MOD(ROW()-ROW($E$1),COUNTA($C$1:$C$19))+1))</f>
        <v>2x0.15DDP+10x0.25DDP</v>
      </c>
      <c r="E33" s="37" t="str">
        <f t="shared" si="0"/>
        <v>2*0.15DDP+10x0.25DDP</v>
      </c>
      <c r="F33" s="37" t="str">
        <f t="shared" si="1"/>
        <v>2*0.15DD*+10x0.25DDP</v>
      </c>
      <c r="G33" s="37" t="str">
        <f t="shared" si="2"/>
        <v>=2*0.15DD*+10x0.25DDP</v>
      </c>
    </row>
    <row r="34" spans="1:7">
      <c r="A34" s="53">
        <f>3*0.15+0*0.25</f>
        <v>0.44999999999999996</v>
      </c>
      <c r="D34" s="50" t="str" cm="1">
        <f t="array" ref="D34">IF(ROW()-ROW($E$1)+1&gt;COUNTA($B$1:$B$19)*COUNTA($C$1:$C$19),"",INDEX($B$1:$B$19,INT((ROW()-ROW($E$1))/COUNTA($C$1:$C$19)+1))&amp;"+"&amp;INDEX($C$1:$C$19,MOD(ROW()-ROW($E$1),COUNTA($C$1:$C$19))+1))</f>
        <v>3x0.15DDP+0x0.25DDP</v>
      </c>
      <c r="E34" s="37" t="str">
        <f t="shared" si="0"/>
        <v>3*0.15DDP+0x0.25DDP</v>
      </c>
      <c r="F34" s="37" t="str">
        <f t="shared" si="1"/>
        <v>3*0.15DD*+0x0.25DDP</v>
      </c>
      <c r="G34" s="37" t="str">
        <f t="shared" si="2"/>
        <v>=3*0.15DD*+0x0.25DDP</v>
      </c>
    </row>
    <row r="35" spans="1:7">
      <c r="A35" s="53">
        <f>3*0.15+1*0.25</f>
        <v>0.7</v>
      </c>
      <c r="D35" s="50" t="str" cm="1">
        <f t="array" ref="D35">IF(ROW()-ROW($E$1)+1&gt;COUNTA($B$1:$B$19)*COUNTA($C$1:$C$19),"",INDEX($B$1:$B$19,INT((ROW()-ROW($E$1))/COUNTA($C$1:$C$19)+1))&amp;"+"&amp;INDEX($C$1:$C$19,MOD(ROW()-ROW($E$1),COUNTA($C$1:$C$19))+1))</f>
        <v>3x0.15DDP+1x0.25DDP</v>
      </c>
      <c r="E35" s="37" t="str">
        <f t="shared" si="0"/>
        <v>3*0.15DDP+1x0.25DDP</v>
      </c>
      <c r="F35" s="37" t="str">
        <f t="shared" si="1"/>
        <v>3*0.15DD*+1x0.25DDP</v>
      </c>
      <c r="G35" s="37" t="str">
        <f t="shared" si="2"/>
        <v>=3*0.15DD*+1x0.25DDP</v>
      </c>
    </row>
    <row r="36" spans="1:7">
      <c r="A36" s="53">
        <f>3*0.15+2*0.25</f>
        <v>0.95</v>
      </c>
      <c r="D36" s="50" t="str" cm="1">
        <f t="array" ref="D36">IF(ROW()-ROW($E$1)+1&gt;COUNTA($B$1:$B$19)*COUNTA($C$1:$C$19),"",INDEX($B$1:$B$19,INT((ROW()-ROW($E$1))/COUNTA($C$1:$C$19)+1))&amp;"+"&amp;INDEX($C$1:$C$19,MOD(ROW()-ROW($E$1),COUNTA($C$1:$C$19))+1))</f>
        <v>3x0.15DDP+2x0.25DDP</v>
      </c>
      <c r="E36" s="37" t="str">
        <f t="shared" si="0"/>
        <v>3*0.15DDP+2x0.25DDP</v>
      </c>
      <c r="F36" s="37" t="str">
        <f t="shared" si="1"/>
        <v>3*0.15DD*+2x0.25DDP</v>
      </c>
      <c r="G36" s="37" t="str">
        <f t="shared" si="2"/>
        <v>=3*0.15DD*+2x0.25DDP</v>
      </c>
    </row>
    <row r="37" spans="1:7">
      <c r="A37" s="53">
        <f>3*0.15+3*0.25</f>
        <v>1.2</v>
      </c>
      <c r="D37" s="50" t="str" cm="1">
        <f t="array" ref="D37">IF(ROW()-ROW($E$1)+1&gt;COUNTA($B$1:$B$19)*COUNTA($C$1:$C$19),"",INDEX($B$1:$B$19,INT((ROW()-ROW($E$1))/COUNTA($C$1:$C$19)+1))&amp;"+"&amp;INDEX($C$1:$C$19,MOD(ROW()-ROW($E$1),COUNTA($C$1:$C$19))+1))</f>
        <v>3x0.15DDP+3x0.25DDP</v>
      </c>
      <c r="E37" s="37" t="str">
        <f t="shared" si="0"/>
        <v>3*0.15DDP+3x0.25DDP</v>
      </c>
      <c r="F37" s="37" t="str">
        <f t="shared" si="1"/>
        <v>3*0.15DD*+3x0.25DDP</v>
      </c>
      <c r="G37" s="37" t="str">
        <f t="shared" si="2"/>
        <v>=3*0.15DD*+3x0.25DDP</v>
      </c>
    </row>
    <row r="38" spans="1:7">
      <c r="A38" s="53">
        <f>3*0.15+4*0.25</f>
        <v>1.45</v>
      </c>
      <c r="D38" s="50" t="str" cm="1">
        <f t="array" ref="D38">IF(ROW()-ROW($E$1)+1&gt;COUNTA($B$1:$B$19)*COUNTA($C$1:$C$19),"",INDEX($B$1:$B$19,INT((ROW()-ROW($E$1))/COUNTA($C$1:$C$19)+1))&amp;"+"&amp;INDEX($C$1:$C$19,MOD(ROW()-ROW($E$1),COUNTA($C$1:$C$19))+1))</f>
        <v>3x0.15DDP+4x0.25DDP</v>
      </c>
      <c r="E38" s="37" t="str">
        <f t="shared" si="0"/>
        <v>3*0.15DDP+4x0.25DDP</v>
      </c>
      <c r="F38" s="37" t="str">
        <f t="shared" si="1"/>
        <v>3*0.15DD*+4x0.25DDP</v>
      </c>
      <c r="G38" s="37" t="str">
        <f t="shared" si="2"/>
        <v>=3*0.15DD*+4x0.25DDP</v>
      </c>
    </row>
    <row r="39" spans="1:7">
      <c r="A39" s="53">
        <f>3*0.15+5*0.25</f>
        <v>1.7</v>
      </c>
      <c r="D39" s="50" t="str" cm="1">
        <f t="array" ref="D39">IF(ROW()-ROW($E$1)+1&gt;COUNTA($B$1:$B$19)*COUNTA($C$1:$C$19),"",INDEX($B$1:$B$19,INT((ROW()-ROW($E$1))/COUNTA($C$1:$C$19)+1))&amp;"+"&amp;INDEX($C$1:$C$19,MOD(ROW()-ROW($E$1),COUNTA($C$1:$C$19))+1))</f>
        <v>3x0.15DDP+5x0.25DDP</v>
      </c>
      <c r="E39" s="37" t="str">
        <f t="shared" si="0"/>
        <v>3*0.15DDP+5x0.25DDP</v>
      </c>
      <c r="F39" s="37" t="str">
        <f t="shared" si="1"/>
        <v>3*0.15DD*+5x0.25DDP</v>
      </c>
      <c r="G39" s="37" t="str">
        <f t="shared" si="2"/>
        <v>=3*0.15DD*+5x0.25DDP</v>
      </c>
    </row>
    <row r="40" spans="1:7">
      <c r="A40" s="53">
        <f>3*0.15+6*0.25</f>
        <v>1.95</v>
      </c>
      <c r="D40" s="50" t="str" cm="1">
        <f t="array" ref="D40">IF(ROW()-ROW($E$1)+1&gt;COUNTA($B$1:$B$19)*COUNTA($C$1:$C$19),"",INDEX($B$1:$B$19,INT((ROW()-ROW($E$1))/COUNTA($C$1:$C$19)+1))&amp;"+"&amp;INDEX($C$1:$C$19,MOD(ROW()-ROW($E$1),COUNTA($C$1:$C$19))+1))</f>
        <v>3x0.15DDP+6x0.25DDP</v>
      </c>
      <c r="E40" s="37" t="str">
        <f t="shared" si="0"/>
        <v>3*0.15DDP+6x0.25DDP</v>
      </c>
      <c r="F40" s="37" t="str">
        <f t="shared" si="1"/>
        <v>3*0.15DD*+6x0.25DDP</v>
      </c>
      <c r="G40" s="37" t="str">
        <f t="shared" si="2"/>
        <v>=3*0.15DD*+6x0.25DDP</v>
      </c>
    </row>
    <row r="41" spans="1:7">
      <c r="A41" s="53">
        <f>3*0.15+7*0.25</f>
        <v>2.2000000000000002</v>
      </c>
      <c r="D41" s="50" t="str" cm="1">
        <f t="array" ref="D41">IF(ROW()-ROW($E$1)+1&gt;COUNTA($B$1:$B$19)*COUNTA($C$1:$C$19),"",INDEX($B$1:$B$19,INT((ROW()-ROW($E$1))/COUNTA($C$1:$C$19)+1))&amp;"+"&amp;INDEX($C$1:$C$19,MOD(ROW()-ROW($E$1),COUNTA($C$1:$C$19))+1))</f>
        <v>3x0.15DDP+7x0.25DDP</v>
      </c>
      <c r="E41" s="37" t="str">
        <f t="shared" si="0"/>
        <v>3*0.15DDP+7x0.25DDP</v>
      </c>
      <c r="F41" s="37" t="str">
        <f t="shared" si="1"/>
        <v>3*0.15DD*+7x0.25DDP</v>
      </c>
      <c r="G41" s="37" t="str">
        <f t="shared" si="2"/>
        <v>=3*0.15DD*+7x0.25DDP</v>
      </c>
    </row>
    <row r="42" spans="1:7">
      <c r="A42" s="53">
        <f>3*0.15+8*0.25</f>
        <v>2.4500000000000002</v>
      </c>
      <c r="D42" s="50" t="str" cm="1">
        <f t="array" ref="D42">IF(ROW()-ROW($E$1)+1&gt;COUNTA($B$1:$B$19)*COUNTA($C$1:$C$19),"",INDEX($B$1:$B$19,INT((ROW()-ROW($E$1))/COUNTA($C$1:$C$19)+1))&amp;"+"&amp;INDEX($C$1:$C$19,MOD(ROW()-ROW($E$1),COUNTA($C$1:$C$19))+1))</f>
        <v>3x0.15DDP+8x0.25DDP</v>
      </c>
      <c r="E42" s="37" t="str">
        <f t="shared" si="0"/>
        <v>3*0.15DDP+8x0.25DDP</v>
      </c>
      <c r="F42" s="37" t="str">
        <f t="shared" si="1"/>
        <v>3*0.15DD*+8x0.25DDP</v>
      </c>
      <c r="G42" s="37" t="str">
        <f t="shared" si="2"/>
        <v>=3*0.15DD*+8x0.25DDP</v>
      </c>
    </row>
    <row r="43" spans="1:7">
      <c r="A43" s="53">
        <f>3*0.15+9*0.25</f>
        <v>2.7</v>
      </c>
      <c r="D43" s="50" t="str" cm="1">
        <f t="array" ref="D43">IF(ROW()-ROW($E$1)+1&gt;COUNTA($B$1:$B$19)*COUNTA($C$1:$C$19),"",INDEX($B$1:$B$19,INT((ROW()-ROW($E$1))/COUNTA($C$1:$C$19)+1))&amp;"+"&amp;INDEX($C$1:$C$19,MOD(ROW()-ROW($E$1),COUNTA($C$1:$C$19))+1))</f>
        <v>3x0.15DDP+9x0.25DDP</v>
      </c>
      <c r="E43" s="37" t="str">
        <f t="shared" si="0"/>
        <v>3*0.15DDP+9x0.25DDP</v>
      </c>
      <c r="F43" s="37" t="str">
        <f t="shared" si="1"/>
        <v>3*0.15DD*+9x0.25DDP</v>
      </c>
      <c r="G43" s="37" t="str">
        <f t="shared" si="2"/>
        <v>=3*0.15DD*+9x0.25DDP</v>
      </c>
    </row>
    <row r="44" spans="1:7">
      <c r="A44" s="53">
        <f>3*0.15+10*0.25</f>
        <v>2.95</v>
      </c>
      <c r="D44" s="50" t="str" cm="1">
        <f t="array" ref="D44">IF(ROW()-ROW($E$1)+1&gt;COUNTA($B$1:$B$19)*COUNTA($C$1:$C$19),"",INDEX($B$1:$B$19,INT((ROW()-ROW($E$1))/COUNTA($C$1:$C$19)+1))&amp;"+"&amp;INDEX($C$1:$C$19,MOD(ROW()-ROW($E$1),COUNTA($C$1:$C$19))+1))</f>
        <v>3x0.15DDP+10x0.25DDP</v>
      </c>
      <c r="E44" s="37" t="str">
        <f t="shared" si="0"/>
        <v>3*0.15DDP+10x0.25DDP</v>
      </c>
      <c r="F44" s="37" t="str">
        <f t="shared" si="1"/>
        <v>3*0.15DD*+10x0.25DDP</v>
      </c>
      <c r="G44" s="37" t="str">
        <f t="shared" si="2"/>
        <v>=3*0.15DD*+10x0.25DDP</v>
      </c>
    </row>
    <row r="45" spans="1:7">
      <c r="A45" s="53">
        <f>4*0.15+0*0.25</f>
        <v>0.6</v>
      </c>
      <c r="D45" s="50" t="str" cm="1">
        <f t="array" ref="D45">IF(ROW()-ROW($E$1)+1&gt;COUNTA($B$1:$B$19)*COUNTA($C$1:$C$19),"",INDEX($B$1:$B$19,INT((ROW()-ROW($E$1))/COUNTA($C$1:$C$19)+1))&amp;"+"&amp;INDEX($C$1:$C$19,MOD(ROW()-ROW($E$1),COUNTA($C$1:$C$19))+1))</f>
        <v>4x0.15DDP+0x0.25DDP</v>
      </c>
      <c r="E45" s="37" t="str">
        <f t="shared" si="0"/>
        <v>4*0.15DDP+0x0.25DDP</v>
      </c>
      <c r="F45" s="37" t="str">
        <f t="shared" si="1"/>
        <v>4*0.15DD*+0x0.25DDP</v>
      </c>
      <c r="G45" s="37" t="str">
        <f t="shared" si="2"/>
        <v>=4*0.15DD*+0x0.25DDP</v>
      </c>
    </row>
    <row r="46" spans="1:7">
      <c r="A46" s="53">
        <f>4*0.15+1*0.25</f>
        <v>0.85</v>
      </c>
      <c r="D46" s="50" t="str" cm="1">
        <f t="array" ref="D46">IF(ROW()-ROW($E$1)+1&gt;COUNTA($B$1:$B$19)*COUNTA($C$1:$C$19),"",INDEX($B$1:$B$19,INT((ROW()-ROW($E$1))/COUNTA($C$1:$C$19)+1))&amp;"+"&amp;INDEX($C$1:$C$19,MOD(ROW()-ROW($E$1),COUNTA($C$1:$C$19))+1))</f>
        <v>4x0.15DDP+1x0.25DDP</v>
      </c>
      <c r="E46" s="37" t="str">
        <f t="shared" si="0"/>
        <v>4*0.15DDP+1x0.25DDP</v>
      </c>
      <c r="F46" s="37" t="str">
        <f t="shared" si="1"/>
        <v>4*0.15DD*+1x0.25DDP</v>
      </c>
      <c r="G46" s="37" t="str">
        <f t="shared" si="2"/>
        <v>=4*0.15DD*+1x0.25DDP</v>
      </c>
    </row>
    <row r="47" spans="1:7">
      <c r="A47" s="53">
        <f>4*0.15+2*0.25</f>
        <v>1.1000000000000001</v>
      </c>
      <c r="D47" s="50" t="str" cm="1">
        <f t="array" ref="D47">IF(ROW()-ROW($E$1)+1&gt;COUNTA($B$1:$B$19)*COUNTA($C$1:$C$19),"",INDEX($B$1:$B$19,INT((ROW()-ROW($E$1))/COUNTA($C$1:$C$19)+1))&amp;"+"&amp;INDEX($C$1:$C$19,MOD(ROW()-ROW($E$1),COUNTA($C$1:$C$19))+1))</f>
        <v>4x0.15DDP+2x0.25DDP</v>
      </c>
      <c r="E47" s="37" t="str">
        <f t="shared" si="0"/>
        <v>4*0.15DDP+2x0.25DDP</v>
      </c>
      <c r="F47" s="37" t="str">
        <f t="shared" si="1"/>
        <v>4*0.15DD*+2x0.25DDP</v>
      </c>
      <c r="G47" s="37" t="str">
        <f t="shared" si="2"/>
        <v>=4*0.15DD*+2x0.25DDP</v>
      </c>
    </row>
    <row r="48" spans="1:7">
      <c r="A48" s="53">
        <f>4*0.15+3*0.25</f>
        <v>1.35</v>
      </c>
      <c r="D48" s="50" t="str" cm="1">
        <f t="array" ref="D48">IF(ROW()-ROW($E$1)+1&gt;COUNTA($B$1:$B$19)*COUNTA($C$1:$C$19),"",INDEX($B$1:$B$19,INT((ROW()-ROW($E$1))/COUNTA($C$1:$C$19)+1))&amp;"+"&amp;INDEX($C$1:$C$19,MOD(ROW()-ROW($E$1),COUNTA($C$1:$C$19))+1))</f>
        <v>4x0.15DDP+3x0.25DDP</v>
      </c>
      <c r="E48" s="37" t="str">
        <f t="shared" si="0"/>
        <v>4*0.15DDP+3x0.25DDP</v>
      </c>
      <c r="F48" s="37" t="str">
        <f t="shared" si="1"/>
        <v>4*0.15DD*+3x0.25DDP</v>
      </c>
      <c r="G48" s="37" t="str">
        <f t="shared" si="2"/>
        <v>=4*0.15DD*+3x0.25DDP</v>
      </c>
    </row>
    <row r="49" spans="1:7">
      <c r="A49" s="53">
        <f>4*0.15+4*0.25</f>
        <v>1.6</v>
      </c>
      <c r="D49" s="50" t="str" cm="1">
        <f t="array" ref="D49">IF(ROW()-ROW($E$1)+1&gt;COUNTA($B$1:$B$19)*COUNTA($C$1:$C$19),"",INDEX($B$1:$B$19,INT((ROW()-ROW($E$1))/COUNTA($C$1:$C$19)+1))&amp;"+"&amp;INDEX($C$1:$C$19,MOD(ROW()-ROW($E$1),COUNTA($C$1:$C$19))+1))</f>
        <v>4x0.15DDP+4x0.25DDP</v>
      </c>
      <c r="E49" s="37" t="str">
        <f t="shared" si="0"/>
        <v>4*0.15DDP+4x0.25DDP</v>
      </c>
      <c r="F49" s="37" t="str">
        <f t="shared" si="1"/>
        <v>4*0.15DD*+4x0.25DDP</v>
      </c>
      <c r="G49" s="37" t="str">
        <f t="shared" si="2"/>
        <v>=4*0.15DD*+4x0.25DDP</v>
      </c>
    </row>
    <row r="50" spans="1:7">
      <c r="A50" s="53">
        <f>4*0.15+5*0.25</f>
        <v>1.85</v>
      </c>
      <c r="D50" s="50" t="str" cm="1">
        <f t="array" ref="D50">IF(ROW()-ROW($E$1)+1&gt;COUNTA($B$1:$B$19)*COUNTA($C$1:$C$19),"",INDEX($B$1:$B$19,INT((ROW()-ROW($E$1))/COUNTA($C$1:$C$19)+1))&amp;"+"&amp;INDEX($C$1:$C$19,MOD(ROW()-ROW($E$1),COUNTA($C$1:$C$19))+1))</f>
        <v>4x0.15DDP+5x0.25DDP</v>
      </c>
      <c r="E50" s="37" t="str">
        <f t="shared" si="0"/>
        <v>4*0.15DDP+5x0.25DDP</v>
      </c>
      <c r="F50" s="37" t="str">
        <f t="shared" si="1"/>
        <v>4*0.15DD*+5x0.25DDP</v>
      </c>
      <c r="G50" s="37" t="str">
        <f t="shared" si="2"/>
        <v>=4*0.15DD*+5x0.25DDP</v>
      </c>
    </row>
    <row r="51" spans="1:7">
      <c r="A51" s="53">
        <f>4*0.15+6*0.25</f>
        <v>2.1</v>
      </c>
      <c r="D51" s="50" t="str" cm="1">
        <f t="array" ref="D51">IF(ROW()-ROW($E$1)+1&gt;COUNTA($B$1:$B$19)*COUNTA($C$1:$C$19),"",INDEX($B$1:$B$19,INT((ROW()-ROW($E$1))/COUNTA($C$1:$C$19)+1))&amp;"+"&amp;INDEX($C$1:$C$19,MOD(ROW()-ROW($E$1),COUNTA($C$1:$C$19))+1))</f>
        <v>4x0.15DDP+6x0.25DDP</v>
      </c>
      <c r="E51" s="37" t="str">
        <f t="shared" si="0"/>
        <v>4*0.15DDP+6x0.25DDP</v>
      </c>
      <c r="F51" s="37" t="str">
        <f t="shared" si="1"/>
        <v>4*0.15DD*+6x0.25DDP</v>
      </c>
      <c r="G51" s="37" t="str">
        <f t="shared" si="2"/>
        <v>=4*0.15DD*+6x0.25DDP</v>
      </c>
    </row>
    <row r="52" spans="1:7">
      <c r="A52" s="53">
        <f>4*0.15+7*0.25</f>
        <v>2.35</v>
      </c>
      <c r="D52" s="50" t="str" cm="1">
        <f t="array" ref="D52">IF(ROW()-ROW($E$1)+1&gt;COUNTA($B$1:$B$19)*COUNTA($C$1:$C$19),"",INDEX($B$1:$B$19,INT((ROW()-ROW($E$1))/COUNTA($C$1:$C$19)+1))&amp;"+"&amp;INDEX($C$1:$C$19,MOD(ROW()-ROW($E$1),COUNTA($C$1:$C$19))+1))</f>
        <v>4x0.15DDP+7x0.25DDP</v>
      </c>
      <c r="E52" s="37" t="str">
        <f t="shared" si="0"/>
        <v>4*0.15DDP+7x0.25DDP</v>
      </c>
      <c r="F52" s="37" t="str">
        <f t="shared" si="1"/>
        <v>4*0.15DD*+7x0.25DDP</v>
      </c>
      <c r="G52" s="37" t="str">
        <f t="shared" si="2"/>
        <v>=4*0.15DD*+7x0.25DDP</v>
      </c>
    </row>
    <row r="53" spans="1:7">
      <c r="A53" s="53">
        <f>4*0.15+8*0.25</f>
        <v>2.6</v>
      </c>
      <c r="D53" s="50" t="str" cm="1">
        <f t="array" ref="D53">IF(ROW()-ROW($E$1)+1&gt;COUNTA($B$1:$B$19)*COUNTA($C$1:$C$19),"",INDEX($B$1:$B$19,INT((ROW()-ROW($E$1))/COUNTA($C$1:$C$19)+1))&amp;"+"&amp;INDEX($C$1:$C$19,MOD(ROW()-ROW($E$1),COUNTA($C$1:$C$19))+1))</f>
        <v>4x0.15DDP+8x0.25DDP</v>
      </c>
      <c r="E53" s="37" t="str">
        <f t="shared" si="0"/>
        <v>4*0.15DDP+8x0.25DDP</v>
      </c>
      <c r="F53" s="37" t="str">
        <f t="shared" si="1"/>
        <v>4*0.15DD*+8x0.25DDP</v>
      </c>
      <c r="G53" s="37" t="str">
        <f t="shared" si="2"/>
        <v>=4*0.15DD*+8x0.25DDP</v>
      </c>
    </row>
    <row r="54" spans="1:7">
      <c r="A54" s="53">
        <f>4*0.15+9*0.25</f>
        <v>2.85</v>
      </c>
      <c r="D54" s="50" t="str" cm="1">
        <f t="array" ref="D54">IF(ROW()-ROW($E$1)+1&gt;COUNTA($B$1:$B$19)*COUNTA($C$1:$C$19),"",INDEX($B$1:$B$19,INT((ROW()-ROW($E$1))/COUNTA($C$1:$C$19)+1))&amp;"+"&amp;INDEX($C$1:$C$19,MOD(ROW()-ROW($E$1),COUNTA($C$1:$C$19))+1))</f>
        <v>4x0.15DDP+9x0.25DDP</v>
      </c>
      <c r="E54" s="37" t="str">
        <f t="shared" si="0"/>
        <v>4*0.15DDP+9x0.25DDP</v>
      </c>
      <c r="F54" s="37" t="str">
        <f t="shared" si="1"/>
        <v>4*0.15DD*+9x0.25DDP</v>
      </c>
      <c r="G54" s="37" t="str">
        <f t="shared" si="2"/>
        <v>=4*0.15DD*+9x0.25DDP</v>
      </c>
    </row>
    <row r="55" spans="1:7">
      <c r="A55" s="53">
        <f>4*0.15+10*0.25</f>
        <v>3.1</v>
      </c>
      <c r="D55" s="50" t="str" cm="1">
        <f t="array" ref="D55">IF(ROW()-ROW($E$1)+1&gt;COUNTA($B$1:$B$19)*COUNTA($C$1:$C$19),"",INDEX($B$1:$B$19,INT((ROW()-ROW($E$1))/COUNTA($C$1:$C$19)+1))&amp;"+"&amp;INDEX($C$1:$C$19,MOD(ROW()-ROW($E$1),COUNTA($C$1:$C$19))+1))</f>
        <v>4x0.15DDP+10x0.25DDP</v>
      </c>
      <c r="E55" s="37" t="str">
        <f t="shared" si="0"/>
        <v>4*0.15DDP+10x0.25DDP</v>
      </c>
      <c r="F55" s="37" t="str">
        <f t="shared" si="1"/>
        <v>4*0.15DD*+10x0.25DDP</v>
      </c>
      <c r="G55" s="37" t="str">
        <f t="shared" si="2"/>
        <v>=4*0.15DD*+10x0.25DDP</v>
      </c>
    </row>
    <row r="56" spans="1:7">
      <c r="A56" s="53">
        <f>5*0.15+0*0.25</f>
        <v>0.75</v>
      </c>
      <c r="D56" s="50" t="str" cm="1">
        <f t="array" ref="D56">IF(ROW()-ROW($E$1)+1&gt;COUNTA($B$1:$B$19)*COUNTA($C$1:$C$19),"",INDEX($B$1:$B$19,INT((ROW()-ROW($E$1))/COUNTA($C$1:$C$19)+1))&amp;"+"&amp;INDEX($C$1:$C$19,MOD(ROW()-ROW($E$1),COUNTA($C$1:$C$19))+1))</f>
        <v>5x0.15DDP+0x0.25DDP</v>
      </c>
      <c r="E56" s="37" t="str">
        <f t="shared" si="0"/>
        <v>5*0.15DDP+0x0.25DDP</v>
      </c>
      <c r="F56" s="37" t="str">
        <f t="shared" si="1"/>
        <v>5*0.15DD*+0x0.25DDP</v>
      </c>
      <c r="G56" s="37" t="str">
        <f t="shared" si="2"/>
        <v>=5*0.15DD*+0x0.25DDP</v>
      </c>
    </row>
    <row r="57" spans="1:7">
      <c r="A57" s="53">
        <f>5*0.15+1*0.25</f>
        <v>1</v>
      </c>
      <c r="D57" s="50" t="str" cm="1">
        <f t="array" ref="D57">IF(ROW()-ROW($E$1)+1&gt;COUNTA($B$1:$B$19)*COUNTA($C$1:$C$19),"",INDEX($B$1:$B$19,INT((ROW()-ROW($E$1))/COUNTA($C$1:$C$19)+1))&amp;"+"&amp;INDEX($C$1:$C$19,MOD(ROW()-ROW($E$1),COUNTA($C$1:$C$19))+1))</f>
        <v>5x0.15DDP+1x0.25DDP</v>
      </c>
      <c r="E57" s="37" t="str">
        <f t="shared" si="0"/>
        <v>5*0.15DDP+1x0.25DDP</v>
      </c>
      <c r="F57" s="37" t="str">
        <f t="shared" si="1"/>
        <v>5*0.15DD*+1x0.25DDP</v>
      </c>
      <c r="G57" s="37" t="str">
        <f t="shared" si="2"/>
        <v>=5*0.15DD*+1x0.25DDP</v>
      </c>
    </row>
    <row r="58" spans="1:7">
      <c r="A58" s="53">
        <f>5*0.15+2*0.25</f>
        <v>1.25</v>
      </c>
      <c r="D58" s="50" t="str" cm="1">
        <f t="array" ref="D58">IF(ROW()-ROW($E$1)+1&gt;COUNTA($B$1:$B$19)*COUNTA($C$1:$C$19),"",INDEX($B$1:$B$19,INT((ROW()-ROW($E$1))/COUNTA($C$1:$C$19)+1))&amp;"+"&amp;INDEX($C$1:$C$19,MOD(ROW()-ROW($E$1),COUNTA($C$1:$C$19))+1))</f>
        <v>5x0.15DDP+2x0.25DDP</v>
      </c>
      <c r="E58" s="37" t="str">
        <f t="shared" si="0"/>
        <v>5*0.15DDP+2x0.25DDP</v>
      </c>
      <c r="F58" s="37" t="str">
        <f t="shared" si="1"/>
        <v>5*0.15DD*+2x0.25DDP</v>
      </c>
      <c r="G58" s="37" t="str">
        <f t="shared" si="2"/>
        <v>=5*0.15DD*+2x0.25DDP</v>
      </c>
    </row>
    <row r="59" spans="1:7">
      <c r="A59" s="53">
        <f>5*0.15+3*0.25</f>
        <v>1.5</v>
      </c>
      <c r="D59" s="50" t="str" cm="1">
        <f t="array" ref="D59">IF(ROW()-ROW($E$1)+1&gt;COUNTA($B$1:$B$19)*COUNTA($C$1:$C$19),"",INDEX($B$1:$B$19,INT((ROW()-ROW($E$1))/COUNTA($C$1:$C$19)+1))&amp;"+"&amp;INDEX($C$1:$C$19,MOD(ROW()-ROW($E$1),COUNTA($C$1:$C$19))+1))</f>
        <v>5x0.15DDP+3x0.25DDP</v>
      </c>
      <c r="E59" s="37" t="str">
        <f t="shared" si="0"/>
        <v>5*0.15DDP+3x0.25DDP</v>
      </c>
      <c r="F59" s="37" t="str">
        <f t="shared" si="1"/>
        <v>5*0.15DD*+3x0.25DDP</v>
      </c>
      <c r="G59" s="37" t="str">
        <f t="shared" si="2"/>
        <v>=5*0.15DD*+3x0.25DDP</v>
      </c>
    </row>
    <row r="60" spans="1:7">
      <c r="A60" s="53">
        <f>5*0.15+4*0.25</f>
        <v>1.75</v>
      </c>
      <c r="D60" s="50" t="str" cm="1">
        <f t="array" ref="D60">IF(ROW()-ROW($E$1)+1&gt;COUNTA($B$1:$B$19)*COUNTA($C$1:$C$19),"",INDEX($B$1:$B$19,INT((ROW()-ROW($E$1))/COUNTA($C$1:$C$19)+1))&amp;"+"&amp;INDEX($C$1:$C$19,MOD(ROW()-ROW($E$1),COUNTA($C$1:$C$19))+1))</f>
        <v>5x0.15DDP+4x0.25DDP</v>
      </c>
      <c r="E60" s="37" t="str">
        <f t="shared" si="0"/>
        <v>5*0.15DDP+4x0.25DDP</v>
      </c>
      <c r="F60" s="37" t="str">
        <f t="shared" si="1"/>
        <v>5*0.15DD*+4x0.25DDP</v>
      </c>
      <c r="G60" s="37" t="str">
        <f t="shared" si="2"/>
        <v>=5*0.15DD*+4x0.25DDP</v>
      </c>
    </row>
    <row r="61" spans="1:7">
      <c r="A61" s="53">
        <f>5*0.15+5*0.25</f>
        <v>2</v>
      </c>
      <c r="D61" s="50" t="str" cm="1">
        <f t="array" ref="D61">IF(ROW()-ROW($E$1)+1&gt;COUNTA($B$1:$B$19)*COUNTA($C$1:$C$19),"",INDEX($B$1:$B$19,INT((ROW()-ROW($E$1))/COUNTA($C$1:$C$19)+1))&amp;"+"&amp;INDEX($C$1:$C$19,MOD(ROW()-ROW($E$1),COUNTA($C$1:$C$19))+1))</f>
        <v>5x0.15DDP+5x0.25DDP</v>
      </c>
      <c r="E61" s="37" t="str">
        <f t="shared" si="0"/>
        <v>5*0.15DDP+5x0.25DDP</v>
      </c>
      <c r="F61" s="37" t="str">
        <f t="shared" si="1"/>
        <v>5*0.15DD*+5x0.25DDP</v>
      </c>
      <c r="G61" s="37" t="str">
        <f t="shared" si="2"/>
        <v>=5*0.15DD*+5x0.25DDP</v>
      </c>
    </row>
    <row r="62" spans="1:7">
      <c r="A62" s="53">
        <f>5*0.15+6*0.25</f>
        <v>2.25</v>
      </c>
      <c r="D62" s="50" t="str" cm="1">
        <f t="array" ref="D62">IF(ROW()-ROW($E$1)+1&gt;COUNTA($B$1:$B$19)*COUNTA($C$1:$C$19),"",INDEX($B$1:$B$19,INT((ROW()-ROW($E$1))/COUNTA($C$1:$C$19)+1))&amp;"+"&amp;INDEX($C$1:$C$19,MOD(ROW()-ROW($E$1),COUNTA($C$1:$C$19))+1))</f>
        <v>5x0.15DDP+6x0.25DDP</v>
      </c>
      <c r="E62" s="37" t="str">
        <f t="shared" si="0"/>
        <v>5*0.15DDP+6x0.25DDP</v>
      </c>
      <c r="F62" s="37" t="str">
        <f t="shared" si="1"/>
        <v>5*0.15DD*+6x0.25DDP</v>
      </c>
      <c r="G62" s="37" t="str">
        <f t="shared" si="2"/>
        <v>=5*0.15DD*+6x0.25DDP</v>
      </c>
    </row>
    <row r="63" spans="1:7">
      <c r="A63" s="53">
        <f>5*0.15+7*0.25</f>
        <v>2.5</v>
      </c>
      <c r="D63" s="50" t="str" cm="1">
        <f t="array" ref="D63">IF(ROW()-ROW($E$1)+1&gt;COUNTA($B$1:$B$19)*COUNTA($C$1:$C$19),"",INDEX($B$1:$B$19,INT((ROW()-ROW($E$1))/COUNTA($C$1:$C$19)+1))&amp;"+"&amp;INDEX($C$1:$C$19,MOD(ROW()-ROW($E$1),COUNTA($C$1:$C$19))+1))</f>
        <v>5x0.15DDP+7x0.25DDP</v>
      </c>
      <c r="E63" s="37" t="str">
        <f t="shared" si="0"/>
        <v>5*0.15DDP+7x0.25DDP</v>
      </c>
      <c r="F63" s="37" t="str">
        <f>REPLACE(E63, 9, 1, "*")</f>
        <v>5*0.15DD*+7x0.25DDP</v>
      </c>
      <c r="G63" s="37" t="str">
        <f t="shared" si="2"/>
        <v>=5*0.15DD*+7x0.25DDP</v>
      </c>
    </row>
    <row r="64" spans="1:7">
      <c r="A64" s="53">
        <f>5*0.15+8*0.25</f>
        <v>2.75</v>
      </c>
      <c r="D64" s="50" t="str" cm="1">
        <f t="array" ref="D64">IF(ROW()-ROW($E$1)+1&gt;COUNTA($B$1:$B$19)*COUNTA($C$1:$C$19),"",INDEX($B$1:$B$19,INT((ROW()-ROW($E$1))/COUNTA($C$1:$C$19)+1))&amp;"+"&amp;INDEX($C$1:$C$19,MOD(ROW()-ROW($E$1),COUNTA($C$1:$C$19))+1))</f>
        <v>5x0.15DDP+8x0.25DDP</v>
      </c>
      <c r="E64" s="37" t="str">
        <f t="shared" si="0"/>
        <v>5*0.15DDP+8x0.25DDP</v>
      </c>
      <c r="F64" s="37" t="str">
        <f t="shared" si="1"/>
        <v>5*0.15DD*+8x0.25DDP</v>
      </c>
      <c r="G64" s="37" t="str">
        <f t="shared" si="2"/>
        <v>=5*0.15DD*+8x0.25DDP</v>
      </c>
    </row>
    <row r="65" spans="1:7">
      <c r="A65" s="53">
        <f>5*0.15+9*0.25</f>
        <v>3</v>
      </c>
      <c r="D65" s="50" t="str" cm="1">
        <f t="array" ref="D65">IF(ROW()-ROW($E$1)+1&gt;COUNTA($B$1:$B$19)*COUNTA($C$1:$C$19),"",INDEX($B$1:$B$19,INT((ROW()-ROW($E$1))/COUNTA($C$1:$C$19)+1))&amp;"+"&amp;INDEX($C$1:$C$19,MOD(ROW()-ROW($E$1),COUNTA($C$1:$C$19))+1))</f>
        <v>5x0.15DDP+9x0.25DDP</v>
      </c>
      <c r="E65" s="37" t="str">
        <f>REPLACE(D65, 2, 1, "*")</f>
        <v>5*0.15DDP+9x0.25DDP</v>
      </c>
      <c r="F65" s="37" t="str">
        <f>REPLACE(E65, 9, 1, "*")</f>
        <v>5*0.15DD*+9x0.25DDP</v>
      </c>
      <c r="G65" s="37" t="str">
        <f>REPLACE(F65, 1, 0, "=")</f>
        <v>=5*0.15DD*+9x0.25DDP</v>
      </c>
    </row>
    <row r="66" spans="1:7">
      <c r="A66" s="53">
        <f>5*0.15+10*0.25</f>
        <v>3.25</v>
      </c>
      <c r="D66" s="50" t="str" cm="1">
        <f t="array" ref="D66">IF(ROW()-ROW($E$1)+1&gt;COUNTA($B$1:$B$19)*COUNTA($C$1:$C$19),"",INDEX($B$1:$B$19,INT((ROW()-ROW($E$1))/COUNTA($C$1:$C$19)+1))&amp;"+"&amp;INDEX($C$1:$C$19,MOD(ROW()-ROW($E$1),COUNTA($C$1:$C$19))+1))</f>
        <v>5x0.15DDP+10x0.25DDP</v>
      </c>
      <c r="E66" s="37" t="str">
        <f>REPLACE(D66, 2, 1, "*")</f>
        <v>5*0.15DDP+10x0.25DDP</v>
      </c>
      <c r="F66" s="37" t="str">
        <f>REPLACE(E66, 9, 1, "*")</f>
        <v>5*0.15DD*+10x0.25DDP</v>
      </c>
      <c r="G66" s="37" t="str">
        <f>REPLACE(F66, 1, 0, "=")</f>
        <v>=5*0.15DD*+10x0.25DDP</v>
      </c>
    </row>
    <row r="67" spans="1:7">
      <c r="A67" s="53">
        <f>6*0.15+0*0.25</f>
        <v>0.89999999999999991</v>
      </c>
      <c r="D67" s="50" t="str" cm="1">
        <f t="array" ref="D67">IF(ROW()-ROW($E$1)+1&gt;COUNTA($B$1:$B$19)*COUNTA($C$1:$C$19),"",INDEX($B$1:$B$19,INT((ROW()-ROW($E$1))/COUNTA($C$1:$C$19)+1))&amp;"+"&amp;INDEX($C$1:$C$19,MOD(ROW()-ROW($E$1),COUNTA($C$1:$C$19))+1))</f>
        <v>6x0.15DDP+0x0.25DDP</v>
      </c>
      <c r="E67" s="37" t="str">
        <f t="shared" ref="E67:E110" si="3">REPLACE(D67, 2, 1, "*")</f>
        <v>6*0.15DDP+0x0.25DDP</v>
      </c>
      <c r="F67" s="37" t="str">
        <f>REPLACE(E67, 9, 1, "*")</f>
        <v>6*0.15DD*+0x0.25DDP</v>
      </c>
      <c r="G67" s="37" t="str">
        <f>REPLACE(F67, 1, 0, "=")</f>
        <v>=6*0.15DD*+0x0.25DDP</v>
      </c>
    </row>
    <row r="68" spans="1:7">
      <c r="A68" s="53">
        <f>6*0.15+1*0.25</f>
        <v>1.1499999999999999</v>
      </c>
      <c r="D68" s="50" t="str" cm="1">
        <f t="array" ref="D68">IF(ROW()-ROW($E$1)+1&gt;COUNTA($B$1:$B$19)*COUNTA($C$1:$C$19),"",INDEX($B$1:$B$19,INT((ROW()-ROW($E$1))/COUNTA($C$1:$C$19)+1))&amp;"+"&amp;INDEX($C$1:$C$19,MOD(ROW()-ROW($E$1),COUNTA($C$1:$C$19))+1))</f>
        <v>6x0.15DDP+1x0.25DDP</v>
      </c>
      <c r="E68" s="37" t="str">
        <f t="shared" si="3"/>
        <v>6*0.15DDP+1x0.25DDP</v>
      </c>
      <c r="F68" s="37" t="str">
        <f t="shared" ref="F68:F74" si="4">REPLACE(E68, 9, 1, "*")</f>
        <v>6*0.15DD*+1x0.25DDP</v>
      </c>
      <c r="G68" s="37" t="str">
        <f>REPLACE(F68, 1, 0, "=")</f>
        <v>=6*0.15DD*+1x0.25DDP</v>
      </c>
    </row>
    <row r="69" spans="1:7">
      <c r="A69" s="53">
        <f>6*0.15+2*0.25</f>
        <v>1.4</v>
      </c>
      <c r="D69" s="50" t="str" cm="1">
        <f t="array" ref="D69">IF(ROW()-ROW($E$1)+1&gt;COUNTA($B$1:$B$19)*COUNTA($C$1:$C$19),"",INDEX($B$1:$B$19,INT((ROW()-ROW($E$1))/COUNTA($C$1:$C$19)+1))&amp;"+"&amp;INDEX($C$1:$C$19,MOD(ROW()-ROW($E$1),COUNTA($C$1:$C$19))+1))</f>
        <v>6x0.15DDP+2x0.25DDP</v>
      </c>
      <c r="E69" s="37" t="str">
        <f t="shared" si="3"/>
        <v>6*0.15DDP+2x0.25DDP</v>
      </c>
      <c r="F69" s="37" t="str">
        <f t="shared" si="4"/>
        <v>6*0.15DD*+2x0.25DDP</v>
      </c>
      <c r="G69" s="37" t="str">
        <f t="shared" ref="G69:G120" si="5">REPLACE(F69, 1, 0, "=")</f>
        <v>=6*0.15DD*+2x0.25DDP</v>
      </c>
    </row>
    <row r="70" spans="1:7">
      <c r="A70" s="53">
        <f>6*0.15+3*0.25</f>
        <v>1.65</v>
      </c>
      <c r="D70" s="50" t="str" cm="1">
        <f t="array" ref="D70">IF(ROW()-ROW($E$1)+1&gt;COUNTA($B$1:$B$19)*COUNTA($C$1:$C$19),"",INDEX($B$1:$B$19,INT((ROW()-ROW($E$1))/COUNTA($C$1:$C$19)+1))&amp;"+"&amp;INDEX($C$1:$C$19,MOD(ROW()-ROW($E$1),COUNTA($C$1:$C$19))+1))</f>
        <v>6x0.15DDP+3x0.25DDP</v>
      </c>
      <c r="E70" s="37" t="str">
        <f t="shared" si="3"/>
        <v>6*0.15DDP+3x0.25DDP</v>
      </c>
      <c r="F70" s="37" t="str">
        <f t="shared" si="4"/>
        <v>6*0.15DD*+3x0.25DDP</v>
      </c>
      <c r="G70" s="37" t="str">
        <f t="shared" si="5"/>
        <v>=6*0.15DD*+3x0.25DDP</v>
      </c>
    </row>
    <row r="71" spans="1:7">
      <c r="A71" s="53">
        <f>6*0.15+4*0.25</f>
        <v>1.9</v>
      </c>
      <c r="D71" s="50" t="str" cm="1">
        <f t="array" ref="D71">IF(ROW()-ROW($E$1)+1&gt;COUNTA($B$1:$B$19)*COUNTA($C$1:$C$19),"",INDEX($B$1:$B$19,INT((ROW()-ROW($E$1))/COUNTA($C$1:$C$19)+1))&amp;"+"&amp;INDEX($C$1:$C$19,MOD(ROW()-ROW($E$1),COUNTA($C$1:$C$19))+1))</f>
        <v>6x0.15DDP+4x0.25DDP</v>
      </c>
      <c r="E71" s="37" t="str">
        <f t="shared" si="3"/>
        <v>6*0.15DDP+4x0.25DDP</v>
      </c>
      <c r="F71" s="37" t="str">
        <f t="shared" si="4"/>
        <v>6*0.15DD*+4x0.25DDP</v>
      </c>
      <c r="G71" s="37" t="str">
        <f t="shared" si="5"/>
        <v>=6*0.15DD*+4x0.25DDP</v>
      </c>
    </row>
    <row r="72" spans="1:7">
      <c r="A72" s="53">
        <f>6*0.15+5*0.25</f>
        <v>2.15</v>
      </c>
      <c r="D72" s="50" t="str" cm="1">
        <f t="array" ref="D72">IF(ROW()-ROW($E$1)+1&gt;COUNTA($B$1:$B$19)*COUNTA($C$1:$C$19),"",INDEX($B$1:$B$19,INT((ROW()-ROW($E$1))/COUNTA($C$1:$C$19)+1))&amp;"+"&amp;INDEX($C$1:$C$19,MOD(ROW()-ROW($E$1),COUNTA($C$1:$C$19))+1))</f>
        <v>6x0.15DDP+5x0.25DDP</v>
      </c>
      <c r="E72" s="37" t="str">
        <f t="shared" si="3"/>
        <v>6*0.15DDP+5x0.25DDP</v>
      </c>
      <c r="F72" s="37" t="str">
        <f t="shared" si="4"/>
        <v>6*0.15DD*+5x0.25DDP</v>
      </c>
      <c r="G72" s="37" t="str">
        <f t="shared" si="5"/>
        <v>=6*0.15DD*+5x0.25DDP</v>
      </c>
    </row>
    <row r="73" spans="1:7">
      <c r="A73" s="53">
        <f>6*0.15+6*0.25</f>
        <v>2.4</v>
      </c>
      <c r="D73" s="50" t="str" cm="1">
        <f t="array" ref="D73">IF(ROW()-ROW($E$1)+1&gt;COUNTA($B$1:$B$19)*COUNTA($C$1:$C$19),"",INDEX($B$1:$B$19,INT((ROW()-ROW($E$1))/COUNTA($C$1:$C$19)+1))&amp;"+"&amp;INDEX($C$1:$C$19,MOD(ROW()-ROW($E$1),COUNTA($C$1:$C$19))+1))</f>
        <v>6x0.15DDP+6x0.25DDP</v>
      </c>
      <c r="E73" s="37" t="str">
        <f t="shared" si="3"/>
        <v>6*0.15DDP+6x0.25DDP</v>
      </c>
      <c r="F73" s="37" t="str">
        <f t="shared" si="4"/>
        <v>6*0.15DD*+6x0.25DDP</v>
      </c>
      <c r="G73" s="37" t="str">
        <f t="shared" si="5"/>
        <v>=6*0.15DD*+6x0.25DDP</v>
      </c>
    </row>
    <row r="74" spans="1:7">
      <c r="A74" s="53">
        <f>6*0.15+7*0.25</f>
        <v>2.65</v>
      </c>
      <c r="D74" s="50" t="str" cm="1">
        <f t="array" ref="D74">IF(ROW()-ROW($E$1)+1&gt;COUNTA($B$1:$B$19)*COUNTA($C$1:$C$19),"",INDEX($B$1:$B$19,INT((ROW()-ROW($E$1))/COUNTA($C$1:$C$19)+1))&amp;"+"&amp;INDEX($C$1:$C$19,MOD(ROW()-ROW($E$1),COUNTA($C$1:$C$19))+1))</f>
        <v>6x0.15DDP+7x0.25DDP</v>
      </c>
      <c r="E74" s="37" t="str">
        <f t="shared" si="3"/>
        <v>6*0.15DDP+7x0.25DDP</v>
      </c>
      <c r="F74" s="37" t="str">
        <f t="shared" si="4"/>
        <v>6*0.15DD*+7x0.25DDP</v>
      </c>
      <c r="G74" s="37" t="str">
        <f t="shared" si="5"/>
        <v>=6*0.15DD*+7x0.25DDP</v>
      </c>
    </row>
    <row r="75" spans="1:7">
      <c r="A75" s="53">
        <f>6*0.15+8*0.25</f>
        <v>2.9</v>
      </c>
      <c r="D75" s="50" t="str" cm="1">
        <f t="array" ref="D75">IF(ROW()-ROW($E$1)+1&gt;COUNTA($B$1:$B$19)*COUNTA($C$1:$C$19),"",INDEX($B$1:$B$19,INT((ROW()-ROW($E$1))/COUNTA($C$1:$C$19)+1))&amp;"+"&amp;INDEX($C$1:$C$19,MOD(ROW()-ROW($E$1),COUNTA($C$1:$C$19))+1))</f>
        <v>6x0.15DDP+8x0.25DDP</v>
      </c>
      <c r="E75" s="37" t="str">
        <f t="shared" si="3"/>
        <v>6*0.15DDP+8x0.25DDP</v>
      </c>
      <c r="F75" s="37" t="str">
        <f t="shared" ref="F75:F110" si="6">REPLACE(E75, 9, 1, "*")</f>
        <v>6*0.15DD*+8x0.25DDP</v>
      </c>
      <c r="G75" s="37" t="str">
        <f t="shared" si="5"/>
        <v>=6*0.15DD*+8x0.25DDP</v>
      </c>
    </row>
    <row r="76" spans="1:7">
      <c r="A76" s="53">
        <f>6*0.15+9*0.25</f>
        <v>3.15</v>
      </c>
      <c r="D76" s="50" t="str" cm="1">
        <f t="array" ref="D76">IF(ROW()-ROW($E$1)+1&gt;COUNTA($B$1:$B$19)*COUNTA($C$1:$C$19),"",INDEX($B$1:$B$19,INT((ROW()-ROW($E$1))/COUNTA($C$1:$C$19)+1))&amp;"+"&amp;INDEX($C$1:$C$19,MOD(ROW()-ROW($E$1),COUNTA($C$1:$C$19))+1))</f>
        <v>6x0.15DDP+9x0.25DDP</v>
      </c>
      <c r="E76" s="37" t="str">
        <f t="shared" si="3"/>
        <v>6*0.15DDP+9x0.25DDP</v>
      </c>
      <c r="F76" s="37" t="str">
        <f t="shared" si="6"/>
        <v>6*0.15DD*+9x0.25DDP</v>
      </c>
      <c r="G76" s="37" t="str">
        <f t="shared" si="5"/>
        <v>=6*0.15DD*+9x0.25DDP</v>
      </c>
    </row>
    <row r="77" spans="1:7">
      <c r="A77" s="53">
        <f>6*0.15+10*0.25</f>
        <v>3.4</v>
      </c>
      <c r="D77" s="50" t="str" cm="1">
        <f t="array" ref="D77">IF(ROW()-ROW($E$1)+1&gt;COUNTA($B$1:$B$19)*COUNTA($C$1:$C$19),"",INDEX($B$1:$B$19,INT((ROW()-ROW($E$1))/COUNTA($C$1:$C$19)+1))&amp;"+"&amp;INDEX($C$1:$C$19,MOD(ROW()-ROW($E$1),COUNTA($C$1:$C$19))+1))</f>
        <v>6x0.15DDP+10x0.25DDP</v>
      </c>
      <c r="E77" s="37" t="str">
        <f t="shared" si="3"/>
        <v>6*0.15DDP+10x0.25DDP</v>
      </c>
      <c r="F77" s="37" t="str">
        <f t="shared" si="6"/>
        <v>6*0.15DD*+10x0.25DDP</v>
      </c>
      <c r="G77" s="37" t="str">
        <f t="shared" si="5"/>
        <v>=6*0.15DD*+10x0.25DDP</v>
      </c>
    </row>
    <row r="78" spans="1:7">
      <c r="A78" s="53">
        <f>7*0.15+0*0.25</f>
        <v>1.05</v>
      </c>
      <c r="D78" s="50" t="str" cm="1">
        <f t="array" ref="D78">IF(ROW()-ROW($E$1)+1&gt;COUNTA($B$1:$B$19)*COUNTA($C$1:$C$19),"",INDEX($B$1:$B$19,INT((ROW()-ROW($E$1))/COUNTA($C$1:$C$19)+1))&amp;"+"&amp;INDEX($C$1:$C$19,MOD(ROW()-ROW($E$1),COUNTA($C$1:$C$19))+1))</f>
        <v>7x0.15DDP+0x0.25DDP</v>
      </c>
      <c r="E78" s="37" t="str">
        <f t="shared" si="3"/>
        <v>7*0.15DDP+0x0.25DDP</v>
      </c>
      <c r="F78" s="37" t="str">
        <f t="shared" si="6"/>
        <v>7*0.15DD*+0x0.25DDP</v>
      </c>
      <c r="G78" s="37" t="str">
        <f t="shared" si="5"/>
        <v>=7*0.15DD*+0x0.25DDP</v>
      </c>
    </row>
    <row r="79" spans="1:7">
      <c r="A79" s="53">
        <f>7*0.15+1*0.25</f>
        <v>1.3</v>
      </c>
      <c r="D79" s="50" t="str" cm="1">
        <f t="array" ref="D79">IF(ROW()-ROW($E$1)+1&gt;COUNTA($B$1:$B$19)*COUNTA($C$1:$C$19),"",INDEX($B$1:$B$19,INT((ROW()-ROW($E$1))/COUNTA($C$1:$C$19)+1))&amp;"+"&amp;INDEX($C$1:$C$19,MOD(ROW()-ROW($E$1),COUNTA($C$1:$C$19))+1))</f>
        <v>7x0.15DDP+1x0.25DDP</v>
      </c>
      <c r="E79" s="37" t="str">
        <f t="shared" si="3"/>
        <v>7*0.15DDP+1x0.25DDP</v>
      </c>
      <c r="F79" s="37" t="str">
        <f t="shared" si="6"/>
        <v>7*0.15DD*+1x0.25DDP</v>
      </c>
      <c r="G79" s="37" t="str">
        <f t="shared" si="5"/>
        <v>=7*0.15DD*+1x0.25DDP</v>
      </c>
    </row>
    <row r="80" spans="1:7">
      <c r="A80" s="53">
        <f>7*0.15+2*0.25</f>
        <v>1.55</v>
      </c>
      <c r="D80" s="50" t="str" cm="1">
        <f t="array" ref="D80">IF(ROW()-ROW($E$1)+1&gt;COUNTA($B$1:$B$19)*COUNTA($C$1:$C$19),"",INDEX($B$1:$B$19,INT((ROW()-ROW($E$1))/COUNTA($C$1:$C$19)+1))&amp;"+"&amp;INDEX($C$1:$C$19,MOD(ROW()-ROW($E$1),COUNTA($C$1:$C$19))+1))</f>
        <v>7x0.15DDP+2x0.25DDP</v>
      </c>
      <c r="E80" s="37" t="str">
        <f t="shared" si="3"/>
        <v>7*0.15DDP+2x0.25DDP</v>
      </c>
      <c r="F80" s="37" t="str">
        <f t="shared" si="6"/>
        <v>7*0.15DD*+2x0.25DDP</v>
      </c>
      <c r="G80" s="37" t="str">
        <f t="shared" si="5"/>
        <v>=7*0.15DD*+2x0.25DDP</v>
      </c>
    </row>
    <row r="81" spans="1:7">
      <c r="A81" s="53">
        <f>7*0.15+3*0.25</f>
        <v>1.8</v>
      </c>
      <c r="D81" s="50" t="str" cm="1">
        <f t="array" ref="D81">IF(ROW()-ROW($E$1)+1&gt;COUNTA($B$1:$B$19)*COUNTA($C$1:$C$19),"",INDEX($B$1:$B$19,INT((ROW()-ROW($E$1))/COUNTA($C$1:$C$19)+1))&amp;"+"&amp;INDEX($C$1:$C$19,MOD(ROW()-ROW($E$1),COUNTA($C$1:$C$19))+1))</f>
        <v>7x0.15DDP+3x0.25DDP</v>
      </c>
      <c r="E81" s="37" t="str">
        <f t="shared" si="3"/>
        <v>7*0.15DDP+3x0.25DDP</v>
      </c>
      <c r="F81" s="37" t="str">
        <f t="shared" si="6"/>
        <v>7*0.15DD*+3x0.25DDP</v>
      </c>
      <c r="G81" s="37" t="str">
        <f t="shared" si="5"/>
        <v>=7*0.15DD*+3x0.25DDP</v>
      </c>
    </row>
    <row r="82" spans="1:7">
      <c r="A82" s="53">
        <f>7*0.15+4*0.25</f>
        <v>2.0499999999999998</v>
      </c>
      <c r="D82" s="50" t="str" cm="1">
        <f t="array" ref="D82">IF(ROW()-ROW($E$1)+1&gt;COUNTA($B$1:$B$19)*COUNTA($C$1:$C$19),"",INDEX($B$1:$B$19,INT((ROW()-ROW($E$1))/COUNTA($C$1:$C$19)+1))&amp;"+"&amp;INDEX($C$1:$C$19,MOD(ROW()-ROW($E$1),COUNTA($C$1:$C$19))+1))</f>
        <v>7x0.15DDP+4x0.25DDP</v>
      </c>
      <c r="E82" s="37" t="str">
        <f t="shared" si="3"/>
        <v>7*0.15DDP+4x0.25DDP</v>
      </c>
      <c r="F82" s="37" t="str">
        <f t="shared" si="6"/>
        <v>7*0.15DD*+4x0.25DDP</v>
      </c>
      <c r="G82" s="37" t="str">
        <f t="shared" si="5"/>
        <v>=7*0.15DD*+4x0.25DDP</v>
      </c>
    </row>
    <row r="83" spans="1:7">
      <c r="A83" s="53">
        <f>7*0.15+5*0.25</f>
        <v>2.2999999999999998</v>
      </c>
      <c r="D83" s="50" t="str" cm="1">
        <f t="array" ref="D83">IF(ROW()-ROW($E$1)+1&gt;COUNTA($B$1:$B$19)*COUNTA($C$1:$C$19),"",INDEX($B$1:$B$19,INT((ROW()-ROW($E$1))/COUNTA($C$1:$C$19)+1))&amp;"+"&amp;INDEX($C$1:$C$19,MOD(ROW()-ROW($E$1),COUNTA($C$1:$C$19))+1))</f>
        <v>7x0.15DDP+5x0.25DDP</v>
      </c>
      <c r="E83" s="37" t="str">
        <f t="shared" si="3"/>
        <v>7*0.15DDP+5x0.25DDP</v>
      </c>
      <c r="F83" s="37" t="str">
        <f t="shared" si="6"/>
        <v>7*0.15DD*+5x0.25DDP</v>
      </c>
      <c r="G83" s="37" t="str">
        <f t="shared" si="5"/>
        <v>=7*0.15DD*+5x0.25DDP</v>
      </c>
    </row>
    <row r="84" spans="1:7">
      <c r="A84" s="53">
        <f>7*0.15+6*0.25</f>
        <v>2.5499999999999998</v>
      </c>
      <c r="D84" s="50" t="str" cm="1">
        <f t="array" ref="D84">IF(ROW()-ROW($E$1)+1&gt;COUNTA($B$1:$B$19)*COUNTA($C$1:$C$19),"",INDEX($B$1:$B$19,INT((ROW()-ROW($E$1))/COUNTA($C$1:$C$19)+1))&amp;"+"&amp;INDEX($C$1:$C$19,MOD(ROW()-ROW($E$1),COUNTA($C$1:$C$19))+1))</f>
        <v>7x0.15DDP+6x0.25DDP</v>
      </c>
      <c r="E84" s="37" t="str">
        <f t="shared" si="3"/>
        <v>7*0.15DDP+6x0.25DDP</v>
      </c>
      <c r="F84" s="37" t="str">
        <f t="shared" si="6"/>
        <v>7*0.15DD*+6x0.25DDP</v>
      </c>
      <c r="G84" s="37" t="str">
        <f t="shared" si="5"/>
        <v>=7*0.15DD*+6x0.25DDP</v>
      </c>
    </row>
    <row r="85" spans="1:7">
      <c r="A85" s="53">
        <f>7*0.15+7*0.25</f>
        <v>2.8</v>
      </c>
      <c r="D85" s="50" t="str" cm="1">
        <f t="array" ref="D85">IF(ROW()-ROW($E$1)+1&gt;COUNTA($B$1:$B$19)*COUNTA($C$1:$C$19),"",INDEX($B$1:$B$19,INT((ROW()-ROW($E$1))/COUNTA($C$1:$C$19)+1))&amp;"+"&amp;INDEX($C$1:$C$19,MOD(ROW()-ROW($E$1),COUNTA($C$1:$C$19))+1))</f>
        <v>7x0.15DDP+7x0.25DDP</v>
      </c>
      <c r="E85" s="37" t="str">
        <f t="shared" si="3"/>
        <v>7*0.15DDP+7x0.25DDP</v>
      </c>
      <c r="F85" s="37" t="str">
        <f t="shared" si="6"/>
        <v>7*0.15DD*+7x0.25DDP</v>
      </c>
      <c r="G85" s="37" t="str">
        <f t="shared" si="5"/>
        <v>=7*0.15DD*+7x0.25DDP</v>
      </c>
    </row>
    <row r="86" spans="1:7">
      <c r="A86" s="53">
        <f>7*0.15+8*0.25</f>
        <v>3.05</v>
      </c>
      <c r="D86" s="50" t="str" cm="1">
        <f t="array" ref="D86">IF(ROW()-ROW($E$1)+1&gt;COUNTA($B$1:$B$19)*COUNTA($C$1:$C$19),"",INDEX($B$1:$B$19,INT((ROW()-ROW($E$1))/COUNTA($C$1:$C$19)+1))&amp;"+"&amp;INDEX($C$1:$C$19,MOD(ROW()-ROW($E$1),COUNTA($C$1:$C$19))+1))</f>
        <v>7x0.15DDP+8x0.25DDP</v>
      </c>
      <c r="E86" s="37" t="str">
        <f t="shared" si="3"/>
        <v>7*0.15DDP+8x0.25DDP</v>
      </c>
      <c r="F86" s="37" t="str">
        <f t="shared" si="6"/>
        <v>7*0.15DD*+8x0.25DDP</v>
      </c>
      <c r="G86" s="37" t="str">
        <f t="shared" si="5"/>
        <v>=7*0.15DD*+8x0.25DDP</v>
      </c>
    </row>
    <row r="87" spans="1:7">
      <c r="A87" s="53">
        <f>7*0.15+9*0.25</f>
        <v>3.3</v>
      </c>
      <c r="D87" s="50" t="str" cm="1">
        <f t="array" ref="D87">IF(ROW()-ROW($E$1)+1&gt;COUNTA($B$1:$B$19)*COUNTA($C$1:$C$19),"",INDEX($B$1:$B$19,INT((ROW()-ROW($E$1))/COUNTA($C$1:$C$19)+1))&amp;"+"&amp;INDEX($C$1:$C$19,MOD(ROW()-ROW($E$1),COUNTA($C$1:$C$19))+1))</f>
        <v>7x0.15DDP+9x0.25DDP</v>
      </c>
      <c r="E87" s="37" t="str">
        <f t="shared" si="3"/>
        <v>7*0.15DDP+9x0.25DDP</v>
      </c>
      <c r="F87" s="37" t="str">
        <f t="shared" si="6"/>
        <v>7*0.15DD*+9x0.25DDP</v>
      </c>
      <c r="G87" s="37" t="str">
        <f t="shared" si="5"/>
        <v>=7*0.15DD*+9x0.25DDP</v>
      </c>
    </row>
    <row r="88" spans="1:7">
      <c r="A88" s="53">
        <f>7*0.15+10*0.25</f>
        <v>3.55</v>
      </c>
      <c r="D88" s="50" t="str" cm="1">
        <f t="array" ref="D88">IF(ROW()-ROW($E$1)+1&gt;COUNTA($B$1:$B$19)*COUNTA($C$1:$C$19),"",INDEX($B$1:$B$19,INT((ROW()-ROW($E$1))/COUNTA($C$1:$C$19)+1))&amp;"+"&amp;INDEX($C$1:$C$19,MOD(ROW()-ROW($E$1),COUNTA($C$1:$C$19))+1))</f>
        <v>7x0.15DDP+10x0.25DDP</v>
      </c>
      <c r="E88" s="37" t="str">
        <f t="shared" si="3"/>
        <v>7*0.15DDP+10x0.25DDP</v>
      </c>
      <c r="F88" s="37" t="str">
        <f t="shared" si="6"/>
        <v>7*0.15DD*+10x0.25DDP</v>
      </c>
      <c r="G88" s="37" t="str">
        <f t="shared" si="5"/>
        <v>=7*0.15DD*+10x0.25DDP</v>
      </c>
    </row>
    <row r="89" spans="1:7">
      <c r="A89" s="53">
        <f>8*0.15+0*0.25</f>
        <v>1.2</v>
      </c>
      <c r="D89" s="50" t="str" cm="1">
        <f t="array" ref="D89">IF(ROW()-ROW($E$1)+1&gt;COUNTA($B$1:$B$19)*COUNTA($C$1:$C$19),"",INDEX($B$1:$B$19,INT((ROW()-ROW($E$1))/COUNTA($C$1:$C$19)+1))&amp;"+"&amp;INDEX($C$1:$C$19,MOD(ROW()-ROW($E$1),COUNTA($C$1:$C$19))+1))</f>
        <v>8x0.15DDP+0x0.25DDP</v>
      </c>
      <c r="E89" s="37" t="str">
        <f t="shared" si="3"/>
        <v>8*0.15DDP+0x0.25DDP</v>
      </c>
      <c r="F89" s="37" t="str">
        <f t="shared" si="6"/>
        <v>8*0.15DD*+0x0.25DDP</v>
      </c>
      <c r="G89" s="37" t="str">
        <f t="shared" si="5"/>
        <v>=8*0.15DD*+0x0.25DDP</v>
      </c>
    </row>
    <row r="90" spans="1:7">
      <c r="A90" s="53">
        <f>8*0.15+1*0.25</f>
        <v>1.45</v>
      </c>
      <c r="D90" s="50" t="str" cm="1">
        <f t="array" ref="D90">IF(ROW()-ROW($E$1)+1&gt;COUNTA($B$1:$B$19)*COUNTA($C$1:$C$19),"",INDEX($B$1:$B$19,INT((ROW()-ROW($E$1))/COUNTA($C$1:$C$19)+1))&amp;"+"&amp;INDEX($C$1:$C$19,MOD(ROW()-ROW($E$1),COUNTA($C$1:$C$19))+1))</f>
        <v>8x0.15DDP+1x0.25DDP</v>
      </c>
      <c r="E90" s="37" t="str">
        <f t="shared" si="3"/>
        <v>8*0.15DDP+1x0.25DDP</v>
      </c>
      <c r="F90" s="37" t="str">
        <f t="shared" si="6"/>
        <v>8*0.15DD*+1x0.25DDP</v>
      </c>
      <c r="G90" s="37" t="str">
        <f t="shared" si="5"/>
        <v>=8*0.15DD*+1x0.25DDP</v>
      </c>
    </row>
    <row r="91" spans="1:7">
      <c r="A91" s="53">
        <f>8*0.15+2*0.25</f>
        <v>1.7</v>
      </c>
      <c r="D91" s="50" t="str" cm="1">
        <f t="array" ref="D91">IF(ROW()-ROW($E$1)+1&gt;COUNTA($B$1:$B$19)*COUNTA($C$1:$C$19),"",INDEX($B$1:$B$19,INT((ROW()-ROW($E$1))/COUNTA($C$1:$C$19)+1))&amp;"+"&amp;INDEX($C$1:$C$19,MOD(ROW()-ROW($E$1),COUNTA($C$1:$C$19))+1))</f>
        <v>8x0.15DDP+2x0.25DDP</v>
      </c>
      <c r="E91" s="37" t="str">
        <f t="shared" si="3"/>
        <v>8*0.15DDP+2x0.25DDP</v>
      </c>
      <c r="F91" s="37" t="str">
        <f t="shared" si="6"/>
        <v>8*0.15DD*+2x0.25DDP</v>
      </c>
      <c r="G91" s="37" t="str">
        <f t="shared" si="5"/>
        <v>=8*0.15DD*+2x0.25DDP</v>
      </c>
    </row>
    <row r="92" spans="1:7">
      <c r="A92" s="53">
        <f>8*0.15+3*0.25</f>
        <v>1.95</v>
      </c>
      <c r="D92" s="50" t="str" cm="1">
        <f t="array" ref="D92">IF(ROW()-ROW($E$1)+1&gt;COUNTA($B$1:$B$19)*COUNTA($C$1:$C$19),"",INDEX($B$1:$B$19,INT((ROW()-ROW($E$1))/COUNTA($C$1:$C$19)+1))&amp;"+"&amp;INDEX($C$1:$C$19,MOD(ROW()-ROW($E$1),COUNTA($C$1:$C$19))+1))</f>
        <v>8x0.15DDP+3x0.25DDP</v>
      </c>
      <c r="E92" s="37" t="str">
        <f t="shared" si="3"/>
        <v>8*0.15DDP+3x0.25DDP</v>
      </c>
      <c r="F92" s="37" t="str">
        <f t="shared" si="6"/>
        <v>8*0.15DD*+3x0.25DDP</v>
      </c>
      <c r="G92" s="37" t="str">
        <f t="shared" si="5"/>
        <v>=8*0.15DD*+3x0.25DDP</v>
      </c>
    </row>
    <row r="93" spans="1:7">
      <c r="A93" s="53">
        <f>8*0.15+4*0.25</f>
        <v>2.2000000000000002</v>
      </c>
      <c r="D93" s="50" t="str" cm="1">
        <f t="array" ref="D93">IF(ROW()-ROW($E$1)+1&gt;COUNTA($B$1:$B$19)*COUNTA($C$1:$C$19),"",INDEX($B$1:$B$19,INT((ROW()-ROW($E$1))/COUNTA($C$1:$C$19)+1))&amp;"+"&amp;INDEX($C$1:$C$19,MOD(ROW()-ROW($E$1),COUNTA($C$1:$C$19))+1))</f>
        <v>8x0.15DDP+4x0.25DDP</v>
      </c>
      <c r="E93" s="37" t="str">
        <f t="shared" si="3"/>
        <v>8*0.15DDP+4x0.25DDP</v>
      </c>
      <c r="F93" s="37" t="str">
        <f t="shared" si="6"/>
        <v>8*0.15DD*+4x0.25DDP</v>
      </c>
      <c r="G93" s="37" t="str">
        <f t="shared" si="5"/>
        <v>=8*0.15DD*+4x0.25DDP</v>
      </c>
    </row>
    <row r="94" spans="1:7">
      <c r="A94" s="53">
        <f>8*0.15+5*0.25</f>
        <v>2.4500000000000002</v>
      </c>
      <c r="D94" s="50" t="str" cm="1">
        <f t="array" ref="D94">IF(ROW()-ROW($E$1)+1&gt;COUNTA($B$1:$B$19)*COUNTA($C$1:$C$19),"",INDEX($B$1:$B$19,INT((ROW()-ROW($E$1))/COUNTA($C$1:$C$19)+1))&amp;"+"&amp;INDEX($C$1:$C$19,MOD(ROW()-ROW($E$1),COUNTA($C$1:$C$19))+1))</f>
        <v>8x0.15DDP+5x0.25DDP</v>
      </c>
      <c r="E94" s="37" t="str">
        <f t="shared" si="3"/>
        <v>8*0.15DDP+5x0.25DDP</v>
      </c>
      <c r="F94" s="37" t="str">
        <f t="shared" si="6"/>
        <v>8*0.15DD*+5x0.25DDP</v>
      </c>
      <c r="G94" s="37" t="str">
        <f t="shared" si="5"/>
        <v>=8*0.15DD*+5x0.25DDP</v>
      </c>
    </row>
    <row r="95" spans="1:7">
      <c r="A95" s="53">
        <f>8*0.15+6*0.25</f>
        <v>2.7</v>
      </c>
      <c r="D95" s="50" t="str" cm="1">
        <f t="array" ref="D95">IF(ROW()-ROW($E$1)+1&gt;COUNTA($B$1:$B$19)*COUNTA($C$1:$C$19),"",INDEX($B$1:$B$19,INT((ROW()-ROW($E$1))/COUNTA($C$1:$C$19)+1))&amp;"+"&amp;INDEX($C$1:$C$19,MOD(ROW()-ROW($E$1),COUNTA($C$1:$C$19))+1))</f>
        <v>8x0.15DDP+6x0.25DDP</v>
      </c>
      <c r="E95" s="37" t="str">
        <f t="shared" si="3"/>
        <v>8*0.15DDP+6x0.25DDP</v>
      </c>
      <c r="F95" s="37" t="str">
        <f t="shared" si="6"/>
        <v>8*0.15DD*+6x0.25DDP</v>
      </c>
      <c r="G95" s="37" t="str">
        <f t="shared" si="5"/>
        <v>=8*0.15DD*+6x0.25DDP</v>
      </c>
    </row>
    <row r="96" spans="1:7">
      <c r="A96" s="53">
        <f>8*0.15+7*0.25</f>
        <v>2.95</v>
      </c>
      <c r="D96" s="50" t="str" cm="1">
        <f t="array" ref="D96">IF(ROW()-ROW($E$1)+1&gt;COUNTA($B$1:$B$19)*COUNTA($C$1:$C$19),"",INDEX($B$1:$B$19,INT((ROW()-ROW($E$1))/COUNTA($C$1:$C$19)+1))&amp;"+"&amp;INDEX($C$1:$C$19,MOD(ROW()-ROW($E$1),COUNTA($C$1:$C$19))+1))</f>
        <v>8x0.15DDP+7x0.25DDP</v>
      </c>
      <c r="E96" s="37" t="str">
        <f t="shared" si="3"/>
        <v>8*0.15DDP+7x0.25DDP</v>
      </c>
      <c r="F96" s="37" t="str">
        <f t="shared" si="6"/>
        <v>8*0.15DD*+7x0.25DDP</v>
      </c>
      <c r="G96" s="37" t="str">
        <f t="shared" si="5"/>
        <v>=8*0.15DD*+7x0.25DDP</v>
      </c>
    </row>
    <row r="97" spans="1:7">
      <c r="A97" s="53">
        <f>8*0.15+8*0.25</f>
        <v>3.2</v>
      </c>
      <c r="D97" s="50" t="str" cm="1">
        <f t="array" ref="D97">IF(ROW()-ROW($E$1)+1&gt;COUNTA($B$1:$B$19)*COUNTA($C$1:$C$19),"",INDEX($B$1:$B$19,INT((ROW()-ROW($E$1))/COUNTA($C$1:$C$19)+1))&amp;"+"&amp;INDEX($C$1:$C$19,MOD(ROW()-ROW($E$1),COUNTA($C$1:$C$19))+1))</f>
        <v>8x0.15DDP+8x0.25DDP</v>
      </c>
      <c r="E97" s="37" t="str">
        <f t="shared" si="3"/>
        <v>8*0.15DDP+8x0.25DDP</v>
      </c>
      <c r="F97" s="37" t="str">
        <f t="shared" si="6"/>
        <v>8*0.15DD*+8x0.25DDP</v>
      </c>
      <c r="G97" s="37" t="str">
        <f t="shared" si="5"/>
        <v>=8*0.15DD*+8x0.25DDP</v>
      </c>
    </row>
    <row r="98" spans="1:7">
      <c r="A98" s="53">
        <f>8*0.15+9*0.25</f>
        <v>3.45</v>
      </c>
      <c r="D98" s="50" t="str" cm="1">
        <f t="array" ref="D98">IF(ROW()-ROW($E$1)+1&gt;COUNTA($B$1:$B$19)*COUNTA($C$1:$C$19),"",INDEX($B$1:$B$19,INT((ROW()-ROW($E$1))/COUNTA($C$1:$C$19)+1))&amp;"+"&amp;INDEX($C$1:$C$19,MOD(ROW()-ROW($E$1),COUNTA($C$1:$C$19))+1))</f>
        <v>8x0.15DDP+9x0.25DDP</v>
      </c>
      <c r="E98" s="37" t="str">
        <f t="shared" si="3"/>
        <v>8*0.15DDP+9x0.25DDP</v>
      </c>
      <c r="F98" s="37" t="str">
        <f t="shared" si="6"/>
        <v>8*0.15DD*+9x0.25DDP</v>
      </c>
      <c r="G98" s="37" t="str">
        <f t="shared" si="5"/>
        <v>=8*0.15DD*+9x0.25DDP</v>
      </c>
    </row>
    <row r="99" spans="1:7">
      <c r="A99" s="53">
        <f>8*0.15+10*0.25</f>
        <v>3.7</v>
      </c>
      <c r="D99" s="50" t="str" cm="1">
        <f t="array" ref="D99">IF(ROW()-ROW($E$1)+1&gt;COUNTA($B$1:$B$19)*COUNTA($C$1:$C$19),"",INDEX($B$1:$B$19,INT((ROW()-ROW($E$1))/COUNTA($C$1:$C$19)+1))&amp;"+"&amp;INDEX($C$1:$C$19,MOD(ROW()-ROW($E$1),COUNTA($C$1:$C$19))+1))</f>
        <v>8x0.15DDP+10x0.25DDP</v>
      </c>
      <c r="E99" s="37" t="str">
        <f t="shared" si="3"/>
        <v>8*0.15DDP+10x0.25DDP</v>
      </c>
      <c r="F99" s="37" t="str">
        <f t="shared" si="6"/>
        <v>8*0.15DD*+10x0.25DDP</v>
      </c>
      <c r="G99" s="37" t="str">
        <f t="shared" si="5"/>
        <v>=8*0.15DD*+10x0.25DDP</v>
      </c>
    </row>
    <row r="100" spans="1:7">
      <c r="A100" s="53">
        <f>9*0.15+0*0.25</f>
        <v>1.3499999999999999</v>
      </c>
      <c r="D100" s="50" t="str" cm="1">
        <f t="array" ref="D100">IF(ROW()-ROW($E$1)+1&gt;COUNTA($B$1:$B$19)*COUNTA($C$1:$C$19),"",INDEX($B$1:$B$19,INT((ROW()-ROW($E$1))/COUNTA($C$1:$C$19)+1))&amp;"+"&amp;INDEX($C$1:$C$19,MOD(ROW()-ROW($E$1),COUNTA($C$1:$C$19))+1))</f>
        <v>9x0.15DDP+0x0.25DDP</v>
      </c>
      <c r="E100" s="37" t="str">
        <f t="shared" si="3"/>
        <v>9*0.15DDP+0x0.25DDP</v>
      </c>
      <c r="F100" s="37" t="str">
        <f t="shared" si="6"/>
        <v>9*0.15DD*+0x0.25DDP</v>
      </c>
      <c r="G100" s="37" t="str">
        <f t="shared" si="5"/>
        <v>=9*0.15DD*+0x0.25DDP</v>
      </c>
    </row>
    <row r="101" spans="1:7">
      <c r="A101" s="53">
        <f>9*0.15+1*0.25</f>
        <v>1.5999999999999999</v>
      </c>
      <c r="D101" s="50" t="str" cm="1">
        <f t="array" ref="D101">IF(ROW()-ROW($E$1)+1&gt;COUNTA($B$1:$B$19)*COUNTA($C$1:$C$19),"",INDEX($B$1:$B$19,INT((ROW()-ROW($E$1))/COUNTA($C$1:$C$19)+1))&amp;"+"&amp;INDEX($C$1:$C$19,MOD(ROW()-ROW($E$1),COUNTA($C$1:$C$19))+1))</f>
        <v>9x0.15DDP+1x0.25DDP</v>
      </c>
      <c r="E101" s="37" t="str">
        <f t="shared" si="3"/>
        <v>9*0.15DDP+1x0.25DDP</v>
      </c>
      <c r="F101" s="37" t="str">
        <f t="shared" si="6"/>
        <v>9*0.15DD*+1x0.25DDP</v>
      </c>
      <c r="G101" s="37" t="str">
        <f t="shared" si="5"/>
        <v>=9*0.15DD*+1x0.25DDP</v>
      </c>
    </row>
    <row r="102" spans="1:7">
      <c r="A102" s="53">
        <f>9*0.15+2*0.25</f>
        <v>1.8499999999999999</v>
      </c>
      <c r="D102" s="50" t="str" cm="1">
        <f t="array" ref="D102">IF(ROW()-ROW($E$1)+1&gt;COUNTA($B$1:$B$19)*COUNTA($C$1:$C$19),"",INDEX($B$1:$B$19,INT((ROW()-ROW($E$1))/COUNTA($C$1:$C$19)+1))&amp;"+"&amp;INDEX($C$1:$C$19,MOD(ROW()-ROW($E$1),COUNTA($C$1:$C$19))+1))</f>
        <v>9x0.15DDP+2x0.25DDP</v>
      </c>
      <c r="E102" s="37" t="str">
        <f t="shared" si="3"/>
        <v>9*0.15DDP+2x0.25DDP</v>
      </c>
      <c r="F102" s="37" t="str">
        <f t="shared" si="6"/>
        <v>9*0.15DD*+2x0.25DDP</v>
      </c>
      <c r="G102" s="37" t="str">
        <f t="shared" si="5"/>
        <v>=9*0.15DD*+2x0.25DDP</v>
      </c>
    </row>
    <row r="103" spans="1:7">
      <c r="A103" s="53">
        <f>9*0.15+3*0.25</f>
        <v>2.0999999999999996</v>
      </c>
      <c r="D103" s="50" t="str" cm="1">
        <f t="array" ref="D103">IF(ROW()-ROW($E$1)+1&gt;COUNTA($B$1:$B$19)*COUNTA($C$1:$C$19),"",INDEX($B$1:$B$19,INT((ROW()-ROW($E$1))/COUNTA($C$1:$C$19)+1))&amp;"+"&amp;INDEX($C$1:$C$19,MOD(ROW()-ROW($E$1),COUNTA($C$1:$C$19))+1))</f>
        <v>9x0.15DDP+3x0.25DDP</v>
      </c>
      <c r="E103" s="37" t="str">
        <f t="shared" si="3"/>
        <v>9*0.15DDP+3x0.25DDP</v>
      </c>
      <c r="F103" s="37" t="str">
        <f t="shared" si="6"/>
        <v>9*0.15DD*+3x0.25DDP</v>
      </c>
      <c r="G103" s="37" t="str">
        <f t="shared" si="5"/>
        <v>=9*0.15DD*+3x0.25DDP</v>
      </c>
    </row>
    <row r="104" spans="1:7">
      <c r="A104" s="53">
        <f>9*0.15+4*0.25</f>
        <v>2.3499999999999996</v>
      </c>
      <c r="D104" s="50" t="str" cm="1">
        <f t="array" ref="D104">IF(ROW()-ROW($E$1)+1&gt;COUNTA($B$1:$B$19)*COUNTA($C$1:$C$19),"",INDEX($B$1:$B$19,INT((ROW()-ROW($E$1))/COUNTA($C$1:$C$19)+1))&amp;"+"&amp;INDEX($C$1:$C$19,MOD(ROW()-ROW($E$1),COUNTA($C$1:$C$19))+1))</f>
        <v>9x0.15DDP+4x0.25DDP</v>
      </c>
      <c r="E104" s="37" t="str">
        <f t="shared" si="3"/>
        <v>9*0.15DDP+4x0.25DDP</v>
      </c>
      <c r="F104" s="37" t="str">
        <f t="shared" si="6"/>
        <v>9*0.15DD*+4x0.25DDP</v>
      </c>
      <c r="G104" s="37" t="str">
        <f t="shared" si="5"/>
        <v>=9*0.15DD*+4x0.25DDP</v>
      </c>
    </row>
    <row r="105" spans="1:7">
      <c r="A105" s="53">
        <f>9*0.15+5*0.25</f>
        <v>2.5999999999999996</v>
      </c>
      <c r="D105" s="50" t="str" cm="1">
        <f t="array" ref="D105">IF(ROW()-ROW($E$1)+1&gt;COUNTA($B$1:$B$19)*COUNTA($C$1:$C$19),"",INDEX($B$1:$B$19,INT((ROW()-ROW($E$1))/COUNTA($C$1:$C$19)+1))&amp;"+"&amp;INDEX($C$1:$C$19,MOD(ROW()-ROW($E$1),COUNTA($C$1:$C$19))+1))</f>
        <v>9x0.15DDP+5x0.25DDP</v>
      </c>
      <c r="E105" s="37" t="str">
        <f t="shared" si="3"/>
        <v>9*0.15DDP+5x0.25DDP</v>
      </c>
      <c r="F105" s="37" t="str">
        <f t="shared" si="6"/>
        <v>9*0.15DD*+5x0.25DDP</v>
      </c>
      <c r="G105" s="37" t="str">
        <f t="shared" si="5"/>
        <v>=9*0.15DD*+5x0.25DDP</v>
      </c>
    </row>
    <row r="106" spans="1:7">
      <c r="A106" s="53">
        <f>9*0.15+6*0.25</f>
        <v>2.8499999999999996</v>
      </c>
      <c r="D106" s="50" t="str" cm="1">
        <f t="array" ref="D106">IF(ROW()-ROW($E$1)+1&gt;COUNTA($B$1:$B$19)*COUNTA($C$1:$C$19),"",INDEX($B$1:$B$19,INT((ROW()-ROW($E$1))/COUNTA($C$1:$C$19)+1))&amp;"+"&amp;INDEX($C$1:$C$19,MOD(ROW()-ROW($E$1),COUNTA($C$1:$C$19))+1))</f>
        <v>9x0.15DDP+6x0.25DDP</v>
      </c>
      <c r="E106" s="37" t="str">
        <f t="shared" si="3"/>
        <v>9*0.15DDP+6x0.25DDP</v>
      </c>
      <c r="F106" s="37" t="str">
        <f t="shared" si="6"/>
        <v>9*0.15DD*+6x0.25DDP</v>
      </c>
      <c r="G106" s="37" t="str">
        <f t="shared" si="5"/>
        <v>=9*0.15DD*+6x0.25DDP</v>
      </c>
    </row>
    <row r="107" spans="1:7">
      <c r="A107" s="53">
        <f>9*0.15+7*0.25</f>
        <v>3.0999999999999996</v>
      </c>
      <c r="D107" s="50" t="str" cm="1">
        <f t="array" ref="D107">IF(ROW()-ROW($E$1)+1&gt;COUNTA($B$1:$B$19)*COUNTA($C$1:$C$19),"",INDEX($B$1:$B$19,INT((ROW()-ROW($E$1))/COUNTA($C$1:$C$19)+1))&amp;"+"&amp;INDEX($C$1:$C$19,MOD(ROW()-ROW($E$1),COUNTA($C$1:$C$19))+1))</f>
        <v>9x0.15DDP+7x0.25DDP</v>
      </c>
      <c r="E107" s="37" t="str">
        <f t="shared" si="3"/>
        <v>9*0.15DDP+7x0.25DDP</v>
      </c>
      <c r="F107" s="37" t="str">
        <f t="shared" si="6"/>
        <v>9*0.15DD*+7x0.25DDP</v>
      </c>
      <c r="G107" s="37" t="str">
        <f t="shared" si="5"/>
        <v>=9*0.15DD*+7x0.25DDP</v>
      </c>
    </row>
    <row r="108" spans="1:7">
      <c r="A108" s="53">
        <f>9*0.15+8*0.25</f>
        <v>3.3499999999999996</v>
      </c>
      <c r="D108" s="50" t="str" cm="1">
        <f t="array" ref="D108">IF(ROW()-ROW($E$1)+1&gt;COUNTA($B$1:$B$19)*COUNTA($C$1:$C$19),"",INDEX($B$1:$B$19,INT((ROW()-ROW($E$1))/COUNTA($C$1:$C$19)+1))&amp;"+"&amp;INDEX($C$1:$C$19,MOD(ROW()-ROW($E$1),COUNTA($C$1:$C$19))+1))</f>
        <v>9x0.15DDP+8x0.25DDP</v>
      </c>
      <c r="E108" s="37" t="str">
        <f t="shared" si="3"/>
        <v>9*0.15DDP+8x0.25DDP</v>
      </c>
      <c r="F108" s="37" t="str">
        <f t="shared" si="6"/>
        <v>9*0.15DD*+8x0.25DDP</v>
      </c>
      <c r="G108" s="37" t="str">
        <f t="shared" si="5"/>
        <v>=9*0.15DD*+8x0.25DDP</v>
      </c>
    </row>
    <row r="109" spans="1:7">
      <c r="A109" s="53">
        <f>9*0.15+9*0.25</f>
        <v>3.5999999999999996</v>
      </c>
      <c r="D109" s="50" t="str" cm="1">
        <f t="array" ref="D109">IF(ROW()-ROW($E$1)+1&gt;COUNTA($B$1:$B$19)*COUNTA($C$1:$C$19),"",INDEX($B$1:$B$19,INT((ROW()-ROW($E$1))/COUNTA($C$1:$C$19)+1))&amp;"+"&amp;INDEX($C$1:$C$19,MOD(ROW()-ROW($E$1),COUNTA($C$1:$C$19))+1))</f>
        <v>9x0.15DDP+9x0.25DDP</v>
      </c>
      <c r="E109" s="37" t="str">
        <f t="shared" si="3"/>
        <v>9*0.15DDP+9x0.25DDP</v>
      </c>
      <c r="F109" s="37" t="str">
        <f t="shared" si="6"/>
        <v>9*0.15DD*+9x0.25DDP</v>
      </c>
      <c r="G109" s="37" t="str">
        <f t="shared" si="5"/>
        <v>=9*0.15DD*+9x0.25DDP</v>
      </c>
    </row>
    <row r="110" spans="1:7">
      <c r="A110" s="53">
        <f>9*0.15+10*0.25</f>
        <v>3.8499999999999996</v>
      </c>
      <c r="D110" s="50" t="str" cm="1">
        <f t="array" ref="D110">IF(ROW()-ROW($E$1)+1&gt;COUNTA($B$1:$B$19)*COUNTA($C$1:$C$19),"",INDEX($B$1:$B$19,INT((ROW()-ROW($E$1))/COUNTA($C$1:$C$19)+1))&amp;"+"&amp;INDEX($C$1:$C$19,MOD(ROW()-ROW($E$1),COUNTA($C$1:$C$19))+1))</f>
        <v>9x0.15DDP+10x0.25DDP</v>
      </c>
      <c r="E110" s="37" t="str">
        <f t="shared" si="3"/>
        <v>9*0.15DDP+10x0.25DDP</v>
      </c>
      <c r="F110" s="37" t="str">
        <f t="shared" si="6"/>
        <v>9*0.15DD*+10x0.25DDP</v>
      </c>
      <c r="G110" s="37" t="str">
        <f t="shared" si="5"/>
        <v>=9*0.15DD*+10x0.25DDP</v>
      </c>
    </row>
    <row r="111" spans="1:7">
      <c r="A111" s="53">
        <f>10*0.15+0*0.25</f>
        <v>1.5</v>
      </c>
      <c r="D111" s="50" t="str" cm="1">
        <f t="array" ref="D111">IF(ROW()-ROW($E$1)+1&gt;COUNTA($B$1:$B$19)*COUNTA($C$1:$C$19),"",INDEX($B$1:$B$19,INT((ROW()-ROW($E$1))/COUNTA($C$1:$C$19)+1))&amp;"+"&amp;INDEX($C$1:$C$19,MOD(ROW()-ROW($E$1),COUNTA($C$1:$C$19))+1))</f>
        <v>10x0.15DDP+0x0.25DDP</v>
      </c>
      <c r="E111" s="37" t="str">
        <f>REPLACE(D111, 3, 1, "*")</f>
        <v>10*0.15DDP+0x0.25DDP</v>
      </c>
      <c r="F111" s="37" t="str">
        <f>REPLACE(E111, 10, 1, "*")</f>
        <v>10*0.15DD*+0x0.25DDP</v>
      </c>
      <c r="G111" s="37" t="str">
        <f t="shared" si="5"/>
        <v>=10*0.15DD*+0x0.25DDP</v>
      </c>
    </row>
    <row r="112" spans="1:7">
      <c r="A112" s="53">
        <f>10*0.15+1*0.25</f>
        <v>1.75</v>
      </c>
      <c r="D112" s="50" t="str" cm="1">
        <f t="array" ref="D112">IF(ROW()-ROW($E$1)+1&gt;COUNTA($B$1:$B$19)*COUNTA($C$1:$C$19),"",INDEX($B$1:$B$19,INT((ROW()-ROW($E$1))/COUNTA($C$1:$C$19)+1))&amp;"+"&amp;INDEX($C$1:$C$19,MOD(ROW()-ROW($E$1),COUNTA($C$1:$C$19))+1))</f>
        <v>10x0.15DDP+1x0.25DDP</v>
      </c>
      <c r="E112" s="37" t="str">
        <f t="shared" ref="E112:E121" si="7">REPLACE(D112, 3, 1, "*")</f>
        <v>10*0.15DDP+1x0.25DDP</v>
      </c>
      <c r="F112" s="37" t="str">
        <f t="shared" ref="F112:F121" si="8">REPLACE(E112, 10, 1, "*")</f>
        <v>10*0.15DD*+1x0.25DDP</v>
      </c>
      <c r="G112" s="37" t="str">
        <f t="shared" si="5"/>
        <v>=10*0.15DD*+1x0.25DDP</v>
      </c>
    </row>
    <row r="113" spans="1:7">
      <c r="A113" s="53">
        <f>10*0.15+2*0.25</f>
        <v>2</v>
      </c>
      <c r="D113" s="50" t="str" cm="1">
        <f t="array" ref="D113">IF(ROW()-ROW($E$1)+1&gt;COUNTA($B$1:$B$19)*COUNTA($C$1:$C$19),"",INDEX($B$1:$B$19,INT((ROW()-ROW($E$1))/COUNTA($C$1:$C$19)+1))&amp;"+"&amp;INDEX($C$1:$C$19,MOD(ROW()-ROW($E$1),COUNTA($C$1:$C$19))+1))</f>
        <v>10x0.15DDP+2x0.25DDP</v>
      </c>
      <c r="E113" s="37" t="str">
        <f t="shared" si="7"/>
        <v>10*0.15DDP+2x0.25DDP</v>
      </c>
      <c r="F113" s="37" t="str">
        <f t="shared" si="8"/>
        <v>10*0.15DD*+2x0.25DDP</v>
      </c>
      <c r="G113" s="37" t="str">
        <f t="shared" si="5"/>
        <v>=10*0.15DD*+2x0.25DDP</v>
      </c>
    </row>
    <row r="114" spans="1:7">
      <c r="A114" s="53">
        <f>10*0.15+3*0.25</f>
        <v>2.25</v>
      </c>
      <c r="D114" s="50" t="str" cm="1">
        <f t="array" ref="D114">IF(ROW()-ROW($E$1)+1&gt;COUNTA($B$1:$B$19)*COUNTA($C$1:$C$19),"",INDEX($B$1:$B$19,INT((ROW()-ROW($E$1))/COUNTA($C$1:$C$19)+1))&amp;"+"&amp;INDEX($C$1:$C$19,MOD(ROW()-ROW($E$1),COUNTA($C$1:$C$19))+1))</f>
        <v>10x0.15DDP+3x0.25DDP</v>
      </c>
      <c r="E114" s="37" t="str">
        <f t="shared" si="7"/>
        <v>10*0.15DDP+3x0.25DDP</v>
      </c>
      <c r="F114" s="37" t="str">
        <f t="shared" si="8"/>
        <v>10*0.15DD*+3x0.25DDP</v>
      </c>
      <c r="G114" s="37" t="str">
        <f t="shared" si="5"/>
        <v>=10*0.15DD*+3x0.25DDP</v>
      </c>
    </row>
    <row r="115" spans="1:7">
      <c r="A115" s="53">
        <f>10*0.15+4*0.25</f>
        <v>2.5</v>
      </c>
      <c r="D115" s="50" t="str" cm="1">
        <f t="array" ref="D115">IF(ROW()-ROW($E$1)+1&gt;COUNTA($B$1:$B$19)*COUNTA($C$1:$C$19),"",INDEX($B$1:$B$19,INT((ROW()-ROW($E$1))/COUNTA($C$1:$C$19)+1))&amp;"+"&amp;INDEX($C$1:$C$19,MOD(ROW()-ROW($E$1),COUNTA($C$1:$C$19))+1))</f>
        <v>10x0.15DDP+4x0.25DDP</v>
      </c>
      <c r="E115" s="37" t="str">
        <f t="shared" si="7"/>
        <v>10*0.15DDP+4x0.25DDP</v>
      </c>
      <c r="F115" s="37" t="str">
        <f t="shared" si="8"/>
        <v>10*0.15DD*+4x0.25DDP</v>
      </c>
      <c r="G115" s="37" t="str">
        <f t="shared" si="5"/>
        <v>=10*0.15DD*+4x0.25DDP</v>
      </c>
    </row>
    <row r="116" spans="1:7">
      <c r="A116" s="53">
        <f>10*0.15+5*0.25</f>
        <v>2.75</v>
      </c>
      <c r="D116" s="50" t="str" cm="1">
        <f t="array" ref="D116">IF(ROW()-ROW($E$1)+1&gt;COUNTA($B$1:$B$19)*COUNTA($C$1:$C$19),"",INDEX($B$1:$B$19,INT((ROW()-ROW($E$1))/COUNTA($C$1:$C$19)+1))&amp;"+"&amp;INDEX($C$1:$C$19,MOD(ROW()-ROW($E$1),COUNTA($C$1:$C$19))+1))</f>
        <v>10x0.15DDP+5x0.25DDP</v>
      </c>
      <c r="E116" s="37" t="str">
        <f t="shared" si="7"/>
        <v>10*0.15DDP+5x0.25DDP</v>
      </c>
      <c r="F116" s="37" t="str">
        <f t="shared" si="8"/>
        <v>10*0.15DD*+5x0.25DDP</v>
      </c>
      <c r="G116" s="37" t="str">
        <f t="shared" si="5"/>
        <v>=10*0.15DD*+5x0.25DDP</v>
      </c>
    </row>
    <row r="117" spans="1:7">
      <c r="A117" s="53">
        <f>10*0.15+6*0.25</f>
        <v>3</v>
      </c>
      <c r="D117" s="50" t="str" cm="1">
        <f t="array" ref="D117">IF(ROW()-ROW($E$1)+1&gt;COUNTA($B$1:$B$19)*COUNTA($C$1:$C$19),"",INDEX($B$1:$B$19,INT((ROW()-ROW($E$1))/COUNTA($C$1:$C$19)+1))&amp;"+"&amp;INDEX($C$1:$C$19,MOD(ROW()-ROW($E$1),COUNTA($C$1:$C$19))+1))</f>
        <v>10x0.15DDP+6x0.25DDP</v>
      </c>
      <c r="E117" s="37" t="str">
        <f t="shared" si="7"/>
        <v>10*0.15DDP+6x0.25DDP</v>
      </c>
      <c r="F117" s="37" t="str">
        <f t="shared" si="8"/>
        <v>10*0.15DD*+6x0.25DDP</v>
      </c>
      <c r="G117" s="37" t="str">
        <f t="shared" si="5"/>
        <v>=10*0.15DD*+6x0.25DDP</v>
      </c>
    </row>
    <row r="118" spans="1:7">
      <c r="A118" s="53">
        <f>10*0.15+7*0.25</f>
        <v>3.25</v>
      </c>
      <c r="D118" s="50" t="str" cm="1">
        <f t="array" ref="D118">IF(ROW()-ROW($E$1)+1&gt;COUNTA($B$1:$B$19)*COUNTA($C$1:$C$19),"",INDEX($B$1:$B$19,INT((ROW()-ROW($E$1))/COUNTA($C$1:$C$19)+1))&amp;"+"&amp;INDEX($C$1:$C$19,MOD(ROW()-ROW($E$1),COUNTA($C$1:$C$19))+1))</f>
        <v>10x0.15DDP+7x0.25DDP</v>
      </c>
      <c r="E118" s="37" t="str">
        <f t="shared" si="7"/>
        <v>10*0.15DDP+7x0.25DDP</v>
      </c>
      <c r="F118" s="37" t="str">
        <f t="shared" si="8"/>
        <v>10*0.15DD*+7x0.25DDP</v>
      </c>
      <c r="G118" s="37" t="str">
        <f t="shared" si="5"/>
        <v>=10*0.15DD*+7x0.25DDP</v>
      </c>
    </row>
    <row r="119" spans="1:7">
      <c r="A119" s="53">
        <f>10*0.15+8*0.25</f>
        <v>3.5</v>
      </c>
      <c r="D119" s="50" t="str" cm="1">
        <f t="array" ref="D119">IF(ROW()-ROW($E$1)+1&gt;COUNTA($B$1:$B$19)*COUNTA($C$1:$C$19),"",INDEX($B$1:$B$19,INT((ROW()-ROW($E$1))/COUNTA($C$1:$C$19)+1))&amp;"+"&amp;INDEX($C$1:$C$19,MOD(ROW()-ROW($E$1),COUNTA($C$1:$C$19))+1))</f>
        <v>10x0.15DDP+8x0.25DDP</v>
      </c>
      <c r="E119" s="37" t="str">
        <f t="shared" si="7"/>
        <v>10*0.15DDP+8x0.25DDP</v>
      </c>
      <c r="F119" s="37" t="str">
        <f t="shared" si="8"/>
        <v>10*0.15DD*+8x0.25DDP</v>
      </c>
      <c r="G119" s="37" t="str">
        <f t="shared" si="5"/>
        <v>=10*0.15DD*+8x0.25DDP</v>
      </c>
    </row>
    <row r="120" spans="1:7">
      <c r="A120" s="53">
        <f>10*0.15+9*0.25</f>
        <v>3.75</v>
      </c>
      <c r="D120" s="50" t="str" cm="1">
        <f t="array" ref="D120">IF(ROW()-ROW($E$1)+1&gt;COUNTA($B$1:$B$19)*COUNTA($C$1:$C$19),"",INDEX($B$1:$B$19,INT((ROW()-ROW($E$1))/COUNTA($C$1:$C$19)+1))&amp;"+"&amp;INDEX($C$1:$C$19,MOD(ROW()-ROW($E$1),COUNTA($C$1:$C$19))+1))</f>
        <v>10x0.15DDP+9x0.25DDP</v>
      </c>
      <c r="E120" s="37" t="str">
        <f t="shared" si="7"/>
        <v>10*0.15DDP+9x0.25DDP</v>
      </c>
      <c r="F120" s="37" t="str">
        <f t="shared" si="8"/>
        <v>10*0.15DD*+9x0.25DDP</v>
      </c>
      <c r="G120" s="37" t="str">
        <f t="shared" si="5"/>
        <v>=10*0.15DD*+9x0.25DDP</v>
      </c>
    </row>
    <row r="121" spans="1:7">
      <c r="A121" s="53">
        <f>10*0.15+10*0.25</f>
        <v>4</v>
      </c>
      <c r="D121" s="50" t="str" cm="1">
        <f t="array" ref="D121">IF(ROW()-ROW($E$1)+1&gt;COUNTA($B$1:$B$19)*COUNTA($C$1:$C$19),"",INDEX($B$1:$B$19,INT((ROW()-ROW($E$1))/COUNTA($C$1:$C$19)+1))&amp;"+"&amp;INDEX($C$1:$C$19,MOD(ROW()-ROW($E$1),COUNTA($C$1:$C$19))+1))</f>
        <v>10x0.15DDP+10x0.25DDP</v>
      </c>
      <c r="E121" s="37" t="str">
        <f t="shared" si="7"/>
        <v>10*0.15DDP+10x0.25DDP</v>
      </c>
      <c r="F121" s="37" t="str">
        <f t="shared" si="8"/>
        <v>10*0.15DD*+10x0.25DDP</v>
      </c>
      <c r="G121" s="37" t="str">
        <f>REPLACE(F121, 1, 0, "=")</f>
        <v>=10*0.15DD*+10x0.25DDP</v>
      </c>
    </row>
    <row r="122" spans="1:7">
      <c r="D122" s="50" t="str" cm="1">
        <f t="array" ref="D122">IF(ROW()-ROW($E$1)+1&gt;COUNTA($B$1:$B$19)*COUNTA($C$1:$C$19),"",INDEX($B$1:$B$19,INT((ROW()-ROW($E$1))/COUNTA($C$1:$C$19)+1))&amp;"+"&amp;INDEX($C$1:$C$19,MOD(ROW()-ROW($E$1),COUNTA($C$1:$C$19))+1))</f>
        <v/>
      </c>
    </row>
    <row r="123" spans="1:7">
      <c r="D123" s="50" t="str" cm="1">
        <f t="array" ref="D123">IF(ROW()-ROW($E$1)+1&gt;COUNTA($B$1:$B$19)*COUNTA($C$1:$C$19),"",INDEX($B$1:$B$19,INT((ROW()-ROW($E$1))/COUNTA($C$1:$C$19)+1))&amp;"+"&amp;INDEX($C$1:$C$19,MOD(ROW()-ROW($E$1),COUNTA($C$1:$C$19))+1))</f>
        <v/>
      </c>
    </row>
    <row r="124" spans="1:7">
      <c r="D124" s="50" t="str" cm="1">
        <f t="array" ref="D124">IF(ROW()-ROW($E$1)+1&gt;COUNTA($B$1:$B$19)*COUNTA($C$1:$C$19),"",INDEX($B$1:$B$19,INT((ROW()-ROW($E$1))/COUNTA($C$1:$C$19)+1))&amp;"+"&amp;INDEX($C$1:$C$19,MOD(ROW()-ROW($E$1),COUNTA($C$1:$C$19))+1))</f>
        <v/>
      </c>
    </row>
    <row r="125" spans="1:7">
      <c r="D125" s="50" t="str" cm="1">
        <f t="array" ref="D125">IF(ROW()-ROW($E$1)+1&gt;COUNTA($B$1:$B$19)*COUNTA($C$1:$C$19),"",INDEX($B$1:$B$19,INT((ROW()-ROW($E$1))/COUNTA($C$1:$C$19)+1))&amp;"+"&amp;INDEX($C$1:$C$19,MOD(ROW()-ROW($E$1),COUNTA($C$1:$C$19))+1))</f>
        <v/>
      </c>
    </row>
    <row r="126" spans="1:7">
      <c r="D126" s="50" t="str" cm="1">
        <f t="array" ref="D126">IF(ROW()-ROW($E$1)+1&gt;COUNTA($B$1:$B$19)*COUNTA($C$1:$C$19),"",INDEX($B$1:$B$19,INT((ROW()-ROW($E$1))/COUNTA($C$1:$C$19)+1))&amp;"+"&amp;INDEX($C$1:$C$19,MOD(ROW()-ROW($E$1),COUNTA($C$1:$C$19))+1))</f>
        <v/>
      </c>
    </row>
    <row r="127" spans="1:7">
      <c r="D127" s="50" t="str" cm="1">
        <f t="array" ref="D127">IF(ROW()-ROW($E$1)+1&gt;COUNTA($B$1:$B$19)*COUNTA($C$1:$C$19),"",INDEX($B$1:$B$19,INT((ROW()-ROW($E$1))/COUNTA($C$1:$C$19)+1))&amp;"+"&amp;INDEX($C$1:$C$19,MOD(ROW()-ROW($E$1),COUNTA($C$1:$C$19))+1))</f>
        <v/>
      </c>
    </row>
    <row r="128" spans="1:7">
      <c r="D128" s="50" t="str" cm="1">
        <f t="array" ref="D128">IF(ROW()-ROW($E$1)+1&gt;COUNTA($B$1:$B$19)*COUNTA($C$1:$C$19),"",INDEX($B$1:$B$19,INT((ROW()-ROW($E$1))/COUNTA($C$1:$C$19)+1))&amp;"+"&amp;INDEX($C$1:$C$19,MOD(ROW()-ROW($E$1),COUNTA($C$1:$C$19))+1))</f>
        <v/>
      </c>
    </row>
    <row r="129" spans="4:4">
      <c r="D129" s="50" t="str" cm="1">
        <f t="array" ref="D129">IF(ROW()-ROW($E$1)+1&gt;COUNTA($B$1:$B$19)*COUNTA($C$1:$C$19),"",INDEX($B$1:$B$19,INT((ROW()-ROW($E$1))/COUNTA($C$1:$C$19)+1))&amp;"+"&amp;INDEX($C$1:$C$19,MOD(ROW()-ROW($E$1),COUNTA($C$1:$C$19))+1))</f>
        <v/>
      </c>
    </row>
    <row r="130" spans="4:4">
      <c r="D130" s="50" t="str" cm="1">
        <f t="array" ref="D130">IF(ROW()-ROW($E$1)+1&gt;COUNTA($B$1:$B$19)*COUNTA($C$1:$C$19),"",INDEX($B$1:$B$19,INT((ROW()-ROW($E$1))/COUNTA($C$1:$C$19)+1))&amp;"+"&amp;INDEX($C$1:$C$19,MOD(ROW()-ROW($E$1),COUNTA($C$1:$C$19))+1))</f>
        <v/>
      </c>
    </row>
    <row r="131" spans="4:4">
      <c r="D131" s="50" t="str" cm="1">
        <f t="array" ref="D131">IF(ROW()-ROW($E$1)+1&gt;COUNTA($B$1:$B$19)*COUNTA($C$1:$C$19),"",INDEX($B$1:$B$19,INT((ROW()-ROW($E$1))/COUNTA($C$1:$C$19)+1))&amp;"+"&amp;INDEX($C$1:$C$19,MOD(ROW()-ROW($E$1),COUNTA($C$1:$C$19))+1))</f>
        <v/>
      </c>
    </row>
    <row r="132" spans="4:4">
      <c r="D132" s="50" t="str" cm="1">
        <f t="array" ref="D132">IF(ROW()-ROW($E$1)+1&gt;COUNTA($B$1:$B$19)*COUNTA($C$1:$C$19),"",INDEX($B$1:$B$19,INT((ROW()-ROW($E$1))/COUNTA($C$1:$C$19)+1))&amp;"+"&amp;INDEX($C$1:$C$19,MOD(ROW()-ROW($E$1),COUNTA($C$1:$C$19))+1))</f>
        <v/>
      </c>
    </row>
    <row r="133" spans="4:4">
      <c r="D133" s="50" t="str" cm="1">
        <f t="array" ref="D133">IF(ROW()-ROW($E$1)+1&gt;COUNTA($B$1:$B$19)*COUNTA($C$1:$C$19),"",INDEX($B$1:$B$19,INT((ROW()-ROW($E$1))/COUNTA($C$1:$C$19)+1))&amp;"+"&amp;INDEX($C$1:$C$19,MOD(ROW()-ROW($E$1),COUNTA($C$1:$C$19))+1))</f>
        <v/>
      </c>
    </row>
  </sheetData>
  <phoneticPr fontId="11" type="noConversion"/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74B4-67F3-45D2-8F29-14ADF39D726F}">
  <dimension ref="A1:Q142"/>
  <sheetViews>
    <sheetView topLeftCell="A61" zoomScale="85" zoomScaleNormal="85" workbookViewId="0">
      <selection activeCell="S116" sqref="S116"/>
    </sheetView>
  </sheetViews>
  <sheetFormatPr baseColWidth="10" defaultColWidth="9.1640625" defaultRowHeight="15"/>
  <cols>
    <col min="1" max="1" width="9.1640625" style="90"/>
    <col min="2" max="2" width="9.1640625" style="91"/>
    <col min="3" max="4" width="9.1640625" style="90"/>
    <col min="5" max="5" width="9.1640625" style="92"/>
    <col min="6" max="6" width="9.1640625" style="90"/>
    <col min="7" max="7" width="9.1640625" style="92"/>
    <col min="8" max="8" width="9.1640625" style="91"/>
    <col min="9" max="13" width="9.1640625" style="90"/>
    <col min="14" max="16384" width="9.1640625" style="92"/>
  </cols>
  <sheetData>
    <row r="1" spans="1:12">
      <c r="F1" s="127" t="str">
        <f>IF('4'!$C$18=$A3,'4'!$O$15,IF('4'!$C$22=$A3,'4'!$O$19,""))</f>
        <v/>
      </c>
      <c r="G1" s="128"/>
      <c r="H1" s="128"/>
      <c r="I1" s="128"/>
      <c r="J1" s="128"/>
      <c r="K1" s="128"/>
      <c r="L1" s="129"/>
    </row>
    <row r="2" spans="1:12">
      <c r="F2" s="127" t="str">
        <f>IF(A3&lt;DATA!$C$75,'4'!$O$8,IF(A3=DATA!$C$75,'4'!$O$9,IF(A3&gt;DATA!$C$75,"")))</f>
        <v/>
      </c>
      <c r="G2" s="128"/>
      <c r="H2" s="128"/>
      <c r="I2" s="128"/>
      <c r="J2" s="128"/>
      <c r="K2" s="128"/>
      <c r="L2" s="129"/>
    </row>
    <row r="3" spans="1:12">
      <c r="A3" s="90">
        <f t="shared" ref="A3" si="0">A6+1</f>
        <v>40</v>
      </c>
      <c r="B3" s="91">
        <f>'4'!$D$12</f>
        <v>23.949999999999989</v>
      </c>
      <c r="C3" s="90">
        <f>DATA!$C$73</f>
        <v>64</v>
      </c>
      <c r="D3" s="90">
        <f t="shared" ref="D3" si="1">C3*A3</f>
        <v>2560</v>
      </c>
      <c r="F3" s="96" t="str">
        <f>IF(A3&lt;=DATA!$C$75,'5'!A3,"")</f>
        <v/>
      </c>
      <c r="G3" s="96" t="str">
        <f>IF($A3&lt;=DATA!$C$75,'5'!B3,"")</f>
        <v/>
      </c>
      <c r="H3" s="96" t="str">
        <f>IF(AND(A3&lt;=DATA!$C$75,DATA!$C$69=1),$B$126,IF(AND(A3&lt;=DATA!$C$75,DATA!$C$69=2),$B$127,IF(AND(A3&lt;=DATA!$C$75,DATA!$C$69=3),$B$128,"")))</f>
        <v/>
      </c>
      <c r="I3" s="96" t="str">
        <f>IF(A3&lt;DATA!$C$75,C3,IF(A3=DATA!$C$75,DATA!$C$74,IF(A3&gt;DATA!$C$75,"")))</f>
        <v/>
      </c>
      <c r="J3" s="96" t="str">
        <f>IF(A3&lt;DATA!$C$75,D3,IF(A3=DATA!$C$75,I3+J6,""))</f>
        <v/>
      </c>
      <c r="K3" s="96" t="str">
        <f>IF(AND(A3&lt;=DATA!$C$75,DATA!$C$69=1),$B$126,IF(AND(A3&lt;=DATA!$C$75,DATA!$C$69=2),$B$127,IF(AND(A3&lt;=DATA!$C$75,DATA!$C$69=3),$B$128,"")))</f>
        <v/>
      </c>
      <c r="L3" s="96" t="str">
        <f>IF(A3&lt;=DATA!$C$75,'5'!B3,"")</f>
        <v/>
      </c>
    </row>
    <row r="4" spans="1:12">
      <c r="F4" s="127" t="str">
        <f>IF('4'!$C$18=$A6,'4'!$O$15,IF('4'!$C$22=$A6,'4'!$O$19,""))</f>
        <v/>
      </c>
      <c r="G4" s="128"/>
      <c r="H4" s="128"/>
      <c r="I4" s="128"/>
      <c r="J4" s="128"/>
      <c r="K4" s="128"/>
      <c r="L4" s="129"/>
    </row>
    <row r="5" spans="1:12">
      <c r="F5" s="127" t="str">
        <f>IF(A6&lt;DATA!$C$75,'4'!$O$8,IF(A6=DATA!$C$75,'4'!$O$9,IF(A6&gt;DATA!$C$75,"")))</f>
        <v/>
      </c>
      <c r="G5" s="128"/>
      <c r="H5" s="128"/>
      <c r="I5" s="128"/>
      <c r="J5" s="128"/>
      <c r="K5" s="128"/>
      <c r="L5" s="129"/>
    </row>
    <row r="6" spans="1:12">
      <c r="A6" s="90">
        <f t="shared" ref="A6" si="2">A9+1</f>
        <v>39</v>
      </c>
      <c r="B6" s="91">
        <f>'4'!$D$12</f>
        <v>23.949999999999989</v>
      </c>
      <c r="C6" s="90">
        <f>DATA!$C$73</f>
        <v>64</v>
      </c>
      <c r="D6" s="90">
        <f t="shared" ref="D6" si="3">C6*A6</f>
        <v>2496</v>
      </c>
      <c r="F6" s="96" t="str">
        <f>IF(A6&lt;=DATA!$C$75,'5'!A6,"")</f>
        <v/>
      </c>
      <c r="G6" s="96" t="str">
        <f>IF($A6&lt;=DATA!$C$75,'5'!B6,"")</f>
        <v/>
      </c>
      <c r="H6" s="96" t="str">
        <f>IF(AND(A6&lt;=DATA!$C$75,DATA!$C$69=1),$B$126,IF(AND(A6&lt;=DATA!$C$75,DATA!$C$69=2),$B$127,IF(AND(A6&lt;=DATA!$C$75,DATA!$C$69=3),$B$128,"")))</f>
        <v/>
      </c>
      <c r="I6" s="96" t="str">
        <f>IF(A6&lt;DATA!$C$75,C6,IF(A6=DATA!$C$75,DATA!$C$74,IF(A6&gt;DATA!$C$75,"")))</f>
        <v/>
      </c>
      <c r="J6" s="96" t="str">
        <f>IF(A6&lt;DATA!$C$75,D6,IF(A6=DATA!$C$75,I6+J9,""))</f>
        <v/>
      </c>
      <c r="K6" s="96" t="str">
        <f>IF(AND(A6&lt;=DATA!$C$75,DATA!$C$69=1),$B$126,IF(AND(A6&lt;=DATA!$C$75,DATA!$C$69=2),$B$127,IF(AND(A6&lt;=DATA!$C$75,DATA!$C$69=3),$B$128,"")))</f>
        <v/>
      </c>
      <c r="L6" s="96" t="str">
        <f>IF(A6&lt;=DATA!$C$75,'5'!B6,"")</f>
        <v/>
      </c>
    </row>
    <row r="7" spans="1:12">
      <c r="F7" s="127" t="str">
        <f>IF('4'!$C$18=$A9,'4'!$O$15,IF('4'!$C$22=$A9,'4'!$O$19,""))</f>
        <v/>
      </c>
      <c r="G7" s="128"/>
      <c r="H7" s="128"/>
      <c r="I7" s="128"/>
      <c r="J7" s="128"/>
      <c r="K7" s="128"/>
      <c r="L7" s="129"/>
    </row>
    <row r="8" spans="1:12">
      <c r="F8" s="127" t="str">
        <f>IF(A9&lt;DATA!$C$75,'4'!$O$8,IF(A9=DATA!$C$75,'4'!$O$9,IF(A9&gt;DATA!$C$75,"")))</f>
        <v/>
      </c>
      <c r="G8" s="128"/>
      <c r="H8" s="128"/>
      <c r="I8" s="128"/>
      <c r="J8" s="128"/>
      <c r="K8" s="128"/>
      <c r="L8" s="129"/>
    </row>
    <row r="9" spans="1:12">
      <c r="A9" s="90">
        <f t="shared" ref="A9:A12" si="4">A12+1</f>
        <v>38</v>
      </c>
      <c r="B9" s="91">
        <f>'4'!$D$12</f>
        <v>23.949999999999989</v>
      </c>
      <c r="C9" s="90">
        <f>DATA!$C$73</f>
        <v>64</v>
      </c>
      <c r="D9" s="90">
        <f t="shared" ref="D9" si="5">C9*A9</f>
        <v>2432</v>
      </c>
      <c r="F9" s="96" t="str">
        <f>IF(A9&lt;=DATA!$C$75,'5'!A9,"")</f>
        <v/>
      </c>
      <c r="G9" s="96" t="str">
        <f>IF($A9&lt;=DATA!$C$75,'5'!B9,"")</f>
        <v/>
      </c>
      <c r="H9" s="96" t="str">
        <f>IF(AND(A9&lt;=DATA!$C$75,DATA!$C$69=1),$B$126,IF(AND(A9&lt;=DATA!$C$75,DATA!$C$69=2),$B$127,IF(AND(A9&lt;=DATA!$C$75,DATA!$C$69=3),$B$128,"")))</f>
        <v/>
      </c>
      <c r="I9" s="96" t="str">
        <f>IF(A9&lt;DATA!$C$75,C9,IF(A9=DATA!$C$75,DATA!$C$74,IF(A9&gt;DATA!$C$75,"")))</f>
        <v/>
      </c>
      <c r="J9" s="96" t="str">
        <f>IF(A9&lt;DATA!$C$75,D9,IF(A9=DATA!$C$75,I9+J12,""))</f>
        <v/>
      </c>
      <c r="K9" s="96" t="str">
        <f>IF(AND(A9&lt;=DATA!$C$75,DATA!$C$69=1),$B$126,IF(AND(A9&lt;=DATA!$C$75,DATA!$C$69=2),$B$127,IF(AND(A9&lt;=DATA!$C$75,DATA!$C$69=3),$B$128,"")))</f>
        <v/>
      </c>
      <c r="L9" s="96" t="str">
        <f>IF(A9&lt;=DATA!$C$75,'5'!B9,"")</f>
        <v/>
      </c>
    </row>
    <row r="10" spans="1:12">
      <c r="F10" s="127" t="str">
        <f>IF('4'!$C$18=$A12,'4'!$O$15,IF('4'!$C$22=$A12,'4'!$O$19,""))</f>
        <v/>
      </c>
      <c r="G10" s="128"/>
      <c r="H10" s="128"/>
      <c r="I10" s="128"/>
      <c r="J10" s="128"/>
      <c r="K10" s="128"/>
      <c r="L10" s="129"/>
    </row>
    <row r="11" spans="1:12">
      <c r="F11" s="127" t="str">
        <f>IF(A12&lt;DATA!$C$75,'4'!$O$8,IF(A12=DATA!$C$75,'4'!$O$9,IF(A12&gt;DATA!$C$75,"")))</f>
        <v/>
      </c>
      <c r="G11" s="128"/>
      <c r="H11" s="128"/>
      <c r="I11" s="128"/>
      <c r="J11" s="128"/>
      <c r="K11" s="128"/>
      <c r="L11" s="129"/>
    </row>
    <row r="12" spans="1:12">
      <c r="A12" s="90">
        <f t="shared" si="4"/>
        <v>37</v>
      </c>
      <c r="B12" s="91">
        <f>'4'!$D$12</f>
        <v>23.949999999999989</v>
      </c>
      <c r="C12" s="90">
        <f>DATA!$C$73</f>
        <v>64</v>
      </c>
      <c r="D12" s="90">
        <f t="shared" ref="D12" si="6">C12*A12</f>
        <v>2368</v>
      </c>
      <c r="F12" s="96" t="str">
        <f>IF(A12&lt;=DATA!$C$75,'5'!A12,"")</f>
        <v/>
      </c>
      <c r="G12" s="96" t="str">
        <f>IF($A12&lt;=DATA!$C$75,'5'!B12,"")</f>
        <v/>
      </c>
      <c r="H12" s="96" t="str">
        <f>IF(AND(A12&lt;=DATA!$C$75,DATA!$C$69=1),$B$126,IF(AND(A12&lt;=DATA!$C$75,DATA!$C$69=2),$B$127,IF(AND(A12&lt;=DATA!$C$75,DATA!$C$69=3),$B$128,"")))</f>
        <v/>
      </c>
      <c r="I12" s="96" t="str">
        <f>IF(A12&lt;DATA!$C$75,C12,IF(A12=DATA!$C$75,DATA!$C$74,IF(A12&gt;DATA!$C$75,"")))</f>
        <v/>
      </c>
      <c r="J12" s="96" t="str">
        <f>IF(A12&lt;DATA!$C$75,D12,IF(A12=DATA!$C$75,I12+J15,""))</f>
        <v/>
      </c>
      <c r="K12" s="96" t="str">
        <f>IF(AND(A12&lt;=DATA!$C$75,DATA!$C$69=1),$B$126,IF(AND(A12&lt;=DATA!$C$75,DATA!$C$69=2),$B$127,IF(AND(A12&lt;=DATA!$C$75,DATA!$C$69=3),$B$128,"")))</f>
        <v/>
      </c>
      <c r="L12" s="96" t="str">
        <f>IF(A12&lt;=DATA!$C$75,'5'!B12,"")</f>
        <v/>
      </c>
    </row>
    <row r="13" spans="1:12">
      <c r="F13" s="127" t="str">
        <f>IF('4'!$C$18=$A15,'4'!$O$15,IF('4'!$C$22=$A15,'4'!$O$19,""))</f>
        <v/>
      </c>
      <c r="G13" s="128"/>
      <c r="H13" s="128"/>
      <c r="I13" s="128"/>
      <c r="J13" s="128"/>
      <c r="K13" s="128"/>
      <c r="L13" s="129"/>
    </row>
    <row r="14" spans="1:12">
      <c r="F14" s="127" t="str">
        <f>IF(A15&lt;DATA!$C$75,'4'!$O$8,IF(A15=DATA!$C$75,'4'!$O$9,IF(A15&gt;DATA!$C$75,"")))</f>
        <v/>
      </c>
      <c r="G14" s="128"/>
      <c r="H14" s="128"/>
      <c r="I14" s="128"/>
      <c r="J14" s="128"/>
      <c r="K14" s="128"/>
      <c r="L14" s="129"/>
    </row>
    <row r="15" spans="1:12">
      <c r="A15" s="90">
        <f t="shared" ref="A15:A57" si="7">A18+1</f>
        <v>36</v>
      </c>
      <c r="B15" s="91">
        <f>'4'!$D$12</f>
        <v>23.949999999999989</v>
      </c>
      <c r="C15" s="90">
        <f>DATA!$C$73</f>
        <v>64</v>
      </c>
      <c r="D15" s="90">
        <f t="shared" ref="D15" si="8">C15*A15</f>
        <v>2304</v>
      </c>
      <c r="F15" s="96" t="str">
        <f>IF(A15&lt;=DATA!$C$75,'5'!A15,"")</f>
        <v/>
      </c>
      <c r="G15" s="96" t="str">
        <f>IF($A15&lt;=DATA!$C$75,'5'!B15,"")</f>
        <v/>
      </c>
      <c r="H15" s="96" t="str">
        <f>IF(AND(A15&lt;=DATA!$C$75,DATA!$C$69=1),$B$126,IF(AND(A15&lt;=DATA!$C$75,DATA!$C$69=2),$B$127,IF(AND(A15&lt;=DATA!$C$75,DATA!$C$69=3),$B$128,"")))</f>
        <v/>
      </c>
      <c r="I15" s="96" t="str">
        <f>IF(A15&lt;DATA!$C$75,C15,IF(A15=DATA!$C$75,DATA!$C$74,IF(A15&gt;DATA!$C$75,"")))</f>
        <v/>
      </c>
      <c r="J15" s="96" t="str">
        <f>IF(A15&lt;DATA!$C$75,D15,IF(A15=DATA!$C$75,I15+J18,""))</f>
        <v/>
      </c>
      <c r="K15" s="96" t="str">
        <f>IF(AND(A15&lt;=DATA!$C$75,DATA!$C$69=1),$B$126,IF(AND(A15&lt;=DATA!$C$75,DATA!$C$69=2),$B$127,IF(AND(A15&lt;=DATA!$C$75,DATA!$C$69=3),$B$128,"")))</f>
        <v/>
      </c>
      <c r="L15" s="96" t="str">
        <f>IF(A15&lt;=DATA!$C$75,'5'!B15,"")</f>
        <v/>
      </c>
    </row>
    <row r="16" spans="1:12">
      <c r="F16" s="127" t="str">
        <f>IF('4'!$C$18=$A18,'4'!$O$15,IF('4'!$C$22=$A18,'4'!$O$19,""))</f>
        <v/>
      </c>
      <c r="G16" s="128"/>
      <c r="H16" s="128"/>
      <c r="I16" s="128"/>
      <c r="J16" s="128"/>
      <c r="K16" s="128"/>
      <c r="L16" s="129"/>
    </row>
    <row r="17" spans="1:12">
      <c r="F17" s="127" t="str">
        <f>IF(A18&lt;DATA!$C$75,'4'!$O$8,IF(A18=DATA!$C$75,'4'!$O$9,IF(A18&gt;DATA!$C$75,"")))</f>
        <v/>
      </c>
      <c r="G17" s="128"/>
      <c r="H17" s="128"/>
      <c r="I17" s="128"/>
      <c r="J17" s="128"/>
      <c r="K17" s="128"/>
      <c r="L17" s="129"/>
    </row>
    <row r="18" spans="1:12">
      <c r="A18" s="90">
        <f t="shared" si="7"/>
        <v>35</v>
      </c>
      <c r="B18" s="91">
        <f>'4'!$D$12</f>
        <v>23.949999999999989</v>
      </c>
      <c r="C18" s="90">
        <f>DATA!$C$73</f>
        <v>64</v>
      </c>
      <c r="D18" s="90">
        <f t="shared" ref="D18" si="9">C18*A18</f>
        <v>2240</v>
      </c>
      <c r="F18" s="96" t="str">
        <f>IF(A18&lt;=DATA!$C$75,'5'!A18,"")</f>
        <v/>
      </c>
      <c r="G18" s="96" t="str">
        <f>IF($A18&lt;=DATA!$C$75,'5'!B18,"")</f>
        <v/>
      </c>
      <c r="H18" s="96" t="str">
        <f>IF(AND(A18&lt;=DATA!$C$75,DATA!$C$69=1),$B$126,IF(AND(A18&lt;=DATA!$C$75,DATA!$C$69=2),$B$127,IF(AND(A18&lt;=DATA!$C$75,DATA!$C$69=3),$B$128,"")))</f>
        <v/>
      </c>
      <c r="I18" s="96" t="str">
        <f>IF(A18&lt;DATA!$C$75,C18,IF(A18=DATA!$C$75,DATA!$C$74,IF(A18&gt;DATA!$C$75,"")))</f>
        <v/>
      </c>
      <c r="J18" s="96" t="str">
        <f>IF(A18&lt;DATA!$C$75,D18,IF(A18=DATA!$C$75,I18+J21,""))</f>
        <v/>
      </c>
      <c r="K18" s="96" t="str">
        <f>IF(AND(A18&lt;=DATA!$C$75,DATA!$C$69=1),$B$126,IF(AND(A18&lt;=DATA!$C$75,DATA!$C$69=2),$B$127,IF(AND(A18&lt;=DATA!$C$75,DATA!$C$69=3),$B$128,"")))</f>
        <v/>
      </c>
      <c r="L18" s="96" t="str">
        <f>IF(A18&lt;=DATA!$C$75,'5'!B18,"")</f>
        <v/>
      </c>
    </row>
    <row r="19" spans="1:12">
      <c r="F19" s="127" t="str">
        <f>IF('4'!$C$18=$A21,'4'!$O$15,IF('4'!$C$22=$A21,'4'!$O$19,""))</f>
        <v/>
      </c>
      <c r="G19" s="128"/>
      <c r="H19" s="128"/>
      <c r="I19" s="128"/>
      <c r="J19" s="128"/>
      <c r="K19" s="128"/>
      <c r="L19" s="129"/>
    </row>
    <row r="20" spans="1:12">
      <c r="F20" s="127" t="str">
        <f>IF(A21&lt;DATA!$C$75,'4'!$O$8,IF(A21=DATA!$C$75,'4'!$O$9,IF(A21&gt;DATA!$C$75,"")))</f>
        <v/>
      </c>
      <c r="G20" s="128"/>
      <c r="H20" s="128"/>
      <c r="I20" s="128"/>
      <c r="J20" s="128"/>
      <c r="K20" s="128"/>
      <c r="L20" s="129"/>
    </row>
    <row r="21" spans="1:12">
      <c r="A21" s="90">
        <f t="shared" si="7"/>
        <v>34</v>
      </c>
      <c r="B21" s="91">
        <f>'4'!$D$12</f>
        <v>23.949999999999989</v>
      </c>
      <c r="C21" s="90">
        <f>DATA!$C$73</f>
        <v>64</v>
      </c>
      <c r="D21" s="90">
        <f t="shared" ref="D21" si="10">C21*A21</f>
        <v>2176</v>
      </c>
      <c r="F21" s="96" t="str">
        <f>IF(A21&lt;=DATA!$C$75,'5'!A21,"")</f>
        <v/>
      </c>
      <c r="G21" s="96" t="str">
        <f>IF($A21&lt;=DATA!$C$75,'5'!B21,"")</f>
        <v/>
      </c>
      <c r="H21" s="96" t="str">
        <f>IF(AND(A21&lt;=DATA!$C$75,DATA!$C$69=1),$B$126,IF(AND(A21&lt;=DATA!$C$75,DATA!$C$69=2),$B$127,IF(AND(A21&lt;=DATA!$C$75,DATA!$C$69=3),$B$128,"")))</f>
        <v/>
      </c>
      <c r="I21" s="96" t="str">
        <f>IF(A21&lt;DATA!$C$75,C21,IF(A21=DATA!$C$75,DATA!$C$74,IF(A21&gt;DATA!$C$75,"")))</f>
        <v/>
      </c>
      <c r="J21" s="96" t="str">
        <f>IF(A21&lt;DATA!$C$75,D21,IF(A21=DATA!$C$75,I21+J24,""))</f>
        <v/>
      </c>
      <c r="K21" s="96" t="str">
        <f>IF(AND(A21&lt;=DATA!$C$75,DATA!$C$69=1),$B$126,IF(AND(A21&lt;=DATA!$C$75,DATA!$C$69=2),$B$127,IF(AND(A21&lt;=DATA!$C$75,DATA!$C$69=3),$B$128,"")))</f>
        <v/>
      </c>
      <c r="L21" s="96" t="str">
        <f>IF(A21&lt;=DATA!$C$75,'5'!B21,"")</f>
        <v/>
      </c>
    </row>
    <row r="22" spans="1:12">
      <c r="F22" s="127" t="str">
        <f>IF('4'!$C$18=$A24,'4'!$O$15,IF('4'!$C$22=$A24,'4'!$O$19,""))</f>
        <v/>
      </c>
      <c r="G22" s="128"/>
      <c r="H22" s="128"/>
      <c r="I22" s="128"/>
      <c r="J22" s="128"/>
      <c r="K22" s="128"/>
      <c r="L22" s="129"/>
    </row>
    <row r="23" spans="1:12">
      <c r="F23" s="127" t="str">
        <f>IF(A24&lt;DATA!$C$75,'4'!$O$8,IF(A24=DATA!$C$75,'4'!$O$9,IF(A24&gt;DATA!$C$75,"")))</f>
        <v/>
      </c>
      <c r="G23" s="128"/>
      <c r="H23" s="128"/>
      <c r="I23" s="128"/>
      <c r="J23" s="128"/>
      <c r="K23" s="128"/>
      <c r="L23" s="129"/>
    </row>
    <row r="24" spans="1:12">
      <c r="A24" s="90">
        <f t="shared" si="7"/>
        <v>33</v>
      </c>
      <c r="B24" s="91">
        <f>'4'!$D$12</f>
        <v>23.949999999999989</v>
      </c>
      <c r="C24" s="90">
        <f>DATA!$C$73</f>
        <v>64</v>
      </c>
      <c r="D24" s="90">
        <f t="shared" ref="D24" si="11">C24*A24</f>
        <v>2112</v>
      </c>
      <c r="F24" s="96" t="str">
        <f>IF(A24&lt;=DATA!$C$75,'5'!A24,"")</f>
        <v/>
      </c>
      <c r="G24" s="96" t="str">
        <f>IF($A24&lt;=DATA!$C$75,'5'!B24,"")</f>
        <v/>
      </c>
      <c r="H24" s="96" t="str">
        <f>IF(AND(A24&lt;=DATA!$C$75,DATA!$C$69=1),$B$126,IF(AND(A24&lt;=DATA!$C$75,DATA!$C$69=2),$B$127,IF(AND(A24&lt;=DATA!$C$75,DATA!$C$69=3),$B$128,"")))</f>
        <v/>
      </c>
      <c r="I24" s="96" t="str">
        <f>IF(A24&lt;DATA!$C$75,C24,IF(A24=DATA!$C$75,DATA!$C$74,IF(A24&gt;DATA!$C$75,"")))</f>
        <v/>
      </c>
      <c r="J24" s="96" t="str">
        <f>IF(A24&lt;DATA!$C$75,D24,IF(A24=DATA!$C$75,I24+J27,""))</f>
        <v/>
      </c>
      <c r="K24" s="96" t="str">
        <f>IF(AND(A24&lt;=DATA!$C$75,DATA!$C$69=1),$B$126,IF(AND(A24&lt;=DATA!$C$75,DATA!$C$69=2),$B$127,IF(AND(A24&lt;=DATA!$C$75,DATA!$C$69=3),$B$128,"")))</f>
        <v/>
      </c>
      <c r="L24" s="96" t="str">
        <f>IF(A24&lt;=DATA!$C$75,'5'!B24,"")</f>
        <v/>
      </c>
    </row>
    <row r="25" spans="1:12">
      <c r="F25" s="127" t="str">
        <f>IF('4'!$C$18=$A27,'4'!$O$15,IF('4'!$C$22=$A27,'4'!$O$19,""))</f>
        <v/>
      </c>
      <c r="G25" s="128"/>
      <c r="H25" s="128"/>
      <c r="I25" s="128"/>
      <c r="J25" s="128"/>
      <c r="K25" s="128"/>
      <c r="L25" s="129"/>
    </row>
    <row r="26" spans="1:12">
      <c r="F26" s="127" t="str">
        <f>IF(A27&lt;DATA!$C$75,'4'!$O$8,IF(A27=DATA!$C$75,'4'!$O$9,IF(A27&gt;DATA!$C$75,"")))</f>
        <v/>
      </c>
      <c r="G26" s="128"/>
      <c r="H26" s="128"/>
      <c r="I26" s="128"/>
      <c r="J26" s="128"/>
      <c r="K26" s="128"/>
      <c r="L26" s="129"/>
    </row>
    <row r="27" spans="1:12">
      <c r="A27" s="90">
        <f t="shared" si="7"/>
        <v>32</v>
      </c>
      <c r="B27" s="91">
        <f>'4'!$D$12</f>
        <v>23.949999999999989</v>
      </c>
      <c r="C27" s="90">
        <f>DATA!$C$73</f>
        <v>64</v>
      </c>
      <c r="D27" s="90">
        <f t="shared" ref="D27" si="12">C27*A27</f>
        <v>2048</v>
      </c>
      <c r="F27" s="96" t="str">
        <f>IF(A27&lt;=DATA!$C$75,'5'!A27,"")</f>
        <v/>
      </c>
      <c r="G27" s="96" t="str">
        <f>IF($A27&lt;=DATA!$C$75,'5'!B27,"")</f>
        <v/>
      </c>
      <c r="H27" s="96" t="str">
        <f>IF(AND(A27&lt;=DATA!$C$75,DATA!$C$69=1),$B$126,IF(AND(A27&lt;=DATA!$C$75,DATA!$C$69=2),$B$127,IF(AND(A27&lt;=DATA!$C$75,DATA!$C$69=3),$B$128,"")))</f>
        <v/>
      </c>
      <c r="I27" s="96" t="str">
        <f>IF(A27&lt;DATA!$C$75,C27,IF(A27=DATA!$C$75,DATA!$C$74,IF(A27&gt;DATA!$C$75,"")))</f>
        <v/>
      </c>
      <c r="J27" s="96" t="str">
        <f>IF(A27&lt;DATA!$C$75,D27,IF(A27=DATA!$C$75,I27+J30,""))</f>
        <v/>
      </c>
      <c r="K27" s="96" t="str">
        <f>IF(AND(A27&lt;=DATA!$C$75,DATA!$C$69=1),$B$126,IF(AND(A27&lt;=DATA!$C$75,DATA!$C$69=2),$B$127,IF(AND(A27&lt;=DATA!$C$75,DATA!$C$69=3),$B$128,"")))</f>
        <v/>
      </c>
      <c r="L27" s="96" t="str">
        <f>IF(A27&lt;=DATA!$C$75,'5'!B27,"")</f>
        <v/>
      </c>
    </row>
    <row r="28" spans="1:12">
      <c r="F28" s="127" t="str">
        <f>IF('4'!$C$18=$A30,'4'!$O$15,IF('4'!$C$22=$A30,'4'!$O$19,""))</f>
        <v/>
      </c>
      <c r="G28" s="128"/>
      <c r="H28" s="128"/>
      <c r="I28" s="128"/>
      <c r="J28" s="128"/>
      <c r="K28" s="128"/>
      <c r="L28" s="129"/>
    </row>
    <row r="29" spans="1:12">
      <c r="F29" s="127" t="str">
        <f>IF(A30&lt;DATA!$C$75,'4'!$O$8,IF(A30=DATA!$C$75,'4'!$O$9,IF(A30&gt;DATA!$C$75,"")))</f>
        <v/>
      </c>
      <c r="G29" s="128"/>
      <c r="H29" s="128"/>
      <c r="I29" s="128"/>
      <c r="J29" s="128"/>
      <c r="K29" s="128"/>
      <c r="L29" s="129"/>
    </row>
    <row r="30" spans="1:12">
      <c r="A30" s="90">
        <f t="shared" si="7"/>
        <v>31</v>
      </c>
      <c r="B30" s="91">
        <f>'4'!$D$12</f>
        <v>23.949999999999989</v>
      </c>
      <c r="C30" s="90">
        <f>DATA!$C$73</f>
        <v>64</v>
      </c>
      <c r="D30" s="90">
        <f t="shared" ref="D30" si="13">C30*A30</f>
        <v>1984</v>
      </c>
      <c r="F30" s="96" t="str">
        <f>IF(A30&lt;=DATA!$C$75,'5'!A30,"")</f>
        <v/>
      </c>
      <c r="G30" s="96" t="str">
        <f>IF($A30&lt;=DATA!$C$75,'5'!B30,"")</f>
        <v/>
      </c>
      <c r="H30" s="96" t="str">
        <f>IF(AND(A30&lt;=DATA!$C$75,DATA!$C$69=1),$B$126,IF(AND(A30&lt;=DATA!$C$75,DATA!$C$69=2),$B$127,IF(AND(A30&lt;=DATA!$C$75,DATA!$C$69=3),$B$128,"")))</f>
        <v/>
      </c>
      <c r="I30" s="96" t="str">
        <f>IF(A30&lt;DATA!$C$75,C30,IF(A30=DATA!$C$75,DATA!$C$74,IF(A30&gt;DATA!$C$75,"")))</f>
        <v/>
      </c>
      <c r="J30" s="96" t="str">
        <f>IF(A30&lt;DATA!$C$75,D30,IF(A30=DATA!$C$75,I30+J33,""))</f>
        <v/>
      </c>
      <c r="K30" s="96" t="str">
        <f>IF(AND(A30&lt;=DATA!$C$75,DATA!$C$69=1),$B$126,IF(AND(A30&lt;=DATA!$C$75,DATA!$C$69=2),$B$127,IF(AND(A30&lt;=DATA!$C$75,DATA!$C$69=3),$B$128,"")))</f>
        <v/>
      </c>
      <c r="L30" s="96" t="str">
        <f>IF(A30&lt;=DATA!$C$75,'5'!B30,"")</f>
        <v/>
      </c>
    </row>
    <row r="31" spans="1:12">
      <c r="F31" s="127" t="str">
        <f>IF('4'!$C$18=$A33,'4'!$O$15,IF('4'!$C$22=$A33,'4'!$O$19,""))</f>
        <v/>
      </c>
      <c r="G31" s="128"/>
      <c r="H31" s="128"/>
      <c r="I31" s="128"/>
      <c r="J31" s="128"/>
      <c r="K31" s="128"/>
      <c r="L31" s="129"/>
    </row>
    <row r="32" spans="1:12">
      <c r="F32" s="127" t="str">
        <f>IF(A33&lt;DATA!$C$75,'4'!$O$8,IF(A33=DATA!$C$75,'4'!$O$9,IF(A33&gt;DATA!$C$75,"")))</f>
        <v/>
      </c>
      <c r="G32" s="128"/>
      <c r="H32" s="128"/>
      <c r="I32" s="128"/>
      <c r="J32" s="128"/>
      <c r="K32" s="128"/>
      <c r="L32" s="129"/>
    </row>
    <row r="33" spans="1:12">
      <c r="A33" s="90">
        <f t="shared" si="7"/>
        <v>30</v>
      </c>
      <c r="B33" s="91">
        <f>'4'!$D$12</f>
        <v>23.949999999999989</v>
      </c>
      <c r="C33" s="90">
        <f>DATA!$C$73</f>
        <v>64</v>
      </c>
      <c r="D33" s="90">
        <f t="shared" ref="D33" si="14">C33*A33</f>
        <v>1920</v>
      </c>
      <c r="F33" s="96" t="str">
        <f>IF(A33&lt;=DATA!$C$75,'5'!A33,"")</f>
        <v/>
      </c>
      <c r="G33" s="96" t="str">
        <f>IF($A33&lt;=DATA!$C$75,'5'!B33,"")</f>
        <v/>
      </c>
      <c r="H33" s="96" t="str">
        <f>IF(AND(A33&lt;=DATA!$C$75,DATA!$C$69=1),$B$126,IF(AND(A33&lt;=DATA!$C$75,DATA!$C$69=2),$B$127,IF(AND(A33&lt;=DATA!$C$75,DATA!$C$69=3),$B$128,"")))</f>
        <v/>
      </c>
      <c r="I33" s="96" t="str">
        <f>IF(A33&lt;DATA!$C$75,C33,IF(A33=DATA!$C$75,DATA!$C$74,IF(A33&gt;DATA!$C$75,"")))</f>
        <v/>
      </c>
      <c r="J33" s="96" t="str">
        <f>IF(A33&lt;DATA!$C$75,D33,IF(A33=DATA!$C$75,I33+J36,""))</f>
        <v/>
      </c>
      <c r="K33" s="96" t="str">
        <f>IF(AND(A33&lt;=DATA!$C$75,DATA!$C$69=1),$B$126,IF(AND(A33&lt;=DATA!$C$75,DATA!$C$69=2),$B$127,IF(AND(A33&lt;=DATA!$C$75,DATA!$C$69=3),$B$128,"")))</f>
        <v/>
      </c>
      <c r="L33" s="96" t="str">
        <f>IF(A33&lt;=DATA!$C$75,'5'!B33,"")</f>
        <v/>
      </c>
    </row>
    <row r="34" spans="1:12">
      <c r="F34" s="127" t="str">
        <f>IF('4'!$C$18=$A36,'4'!$O$15,IF('4'!$C$22=$A36,'4'!$O$19,""))</f>
        <v/>
      </c>
      <c r="G34" s="128"/>
      <c r="H34" s="128"/>
      <c r="I34" s="128"/>
      <c r="J34" s="128"/>
      <c r="K34" s="128"/>
      <c r="L34" s="129"/>
    </row>
    <row r="35" spans="1:12">
      <c r="F35" s="127" t="str">
        <f>IF(A36&lt;DATA!$C$75,'4'!$O$8,IF(A36=DATA!$C$75,'4'!$O$9,IF(A36&gt;DATA!$C$75,"")))</f>
        <v/>
      </c>
      <c r="G35" s="128"/>
      <c r="H35" s="128"/>
      <c r="I35" s="128"/>
      <c r="J35" s="128"/>
      <c r="K35" s="128"/>
      <c r="L35" s="129"/>
    </row>
    <row r="36" spans="1:12">
      <c r="A36" s="90">
        <f t="shared" si="7"/>
        <v>29</v>
      </c>
      <c r="B36" s="91">
        <f>'4'!$D$12</f>
        <v>23.949999999999989</v>
      </c>
      <c r="C36" s="90">
        <f>DATA!$C$73</f>
        <v>64</v>
      </c>
      <c r="D36" s="90">
        <f t="shared" ref="D36" si="15">C36*A36</f>
        <v>1856</v>
      </c>
      <c r="F36" s="96" t="str">
        <f>IF(A36&lt;=DATA!$C$75,'5'!A36,"")</f>
        <v/>
      </c>
      <c r="G36" s="96" t="str">
        <f>IF($A36&lt;=DATA!$C$75,'5'!B36,"")</f>
        <v/>
      </c>
      <c r="H36" s="96" t="str">
        <f>IF(AND(A36&lt;=DATA!$C$75,DATA!$C$69=1),$B$126,IF(AND(A36&lt;=DATA!$C$75,DATA!$C$69=2),$B$127,IF(AND(A36&lt;=DATA!$C$75,DATA!$C$69=3),$B$128,"")))</f>
        <v/>
      </c>
      <c r="I36" s="96" t="str">
        <f>IF(A36&lt;DATA!$C$75,C36,IF(A36=DATA!$C$75,DATA!$C$74,IF(A36&gt;DATA!$C$75,"")))</f>
        <v/>
      </c>
      <c r="J36" s="96" t="str">
        <f>IF(A36&lt;DATA!$C$75,D36,IF(A36=DATA!$C$75,I36+J39,""))</f>
        <v/>
      </c>
      <c r="K36" s="96" t="str">
        <f>IF(AND(A36&lt;=DATA!$C$75,DATA!$C$69=1),$B$126,IF(AND(A36&lt;=DATA!$C$75,DATA!$C$69=2),$B$127,IF(AND(A36&lt;=DATA!$C$75,DATA!$C$69=3),$B$128,"")))</f>
        <v/>
      </c>
      <c r="L36" s="96" t="str">
        <f>IF(A36&lt;=DATA!$C$75,'5'!B36,"")</f>
        <v/>
      </c>
    </row>
    <row r="37" spans="1:12">
      <c r="F37" s="127" t="str">
        <f>IF('4'!$C$18=$A39,'4'!$O$15,IF('4'!$C$22=$A39,'4'!$O$19,""))</f>
        <v/>
      </c>
      <c r="G37" s="128"/>
      <c r="H37" s="128"/>
      <c r="I37" s="128"/>
      <c r="J37" s="128"/>
      <c r="K37" s="128"/>
      <c r="L37" s="129"/>
    </row>
    <row r="38" spans="1:12">
      <c r="F38" s="127" t="str">
        <f>IF(A39&lt;DATA!$C$75,'4'!$O$8,IF(A39=DATA!$C$75,'4'!$O$9,IF(A39&gt;DATA!$C$75,"")))</f>
        <v/>
      </c>
      <c r="G38" s="128"/>
      <c r="H38" s="128"/>
      <c r="I38" s="128"/>
      <c r="J38" s="128"/>
      <c r="K38" s="128"/>
      <c r="L38" s="129"/>
    </row>
    <row r="39" spans="1:12">
      <c r="A39" s="90">
        <f t="shared" si="7"/>
        <v>28</v>
      </c>
      <c r="B39" s="91">
        <f>'4'!$D$12</f>
        <v>23.949999999999989</v>
      </c>
      <c r="C39" s="90">
        <f>DATA!$C$73</f>
        <v>64</v>
      </c>
      <c r="D39" s="90">
        <f t="shared" ref="D39" si="16">C39*A39</f>
        <v>1792</v>
      </c>
      <c r="F39" s="96" t="str">
        <f>IF(A39&lt;=DATA!$C$75,'5'!A39,"")</f>
        <v/>
      </c>
      <c r="G39" s="96" t="str">
        <f>IF($A39&lt;=DATA!$C$75,'5'!B39,"")</f>
        <v/>
      </c>
      <c r="H39" s="96" t="str">
        <f>IF(AND(A39&lt;=DATA!$C$75,DATA!$C$69=1),$B$126,IF(AND(A39&lt;=DATA!$C$75,DATA!$C$69=2),$B$127,IF(AND(A39&lt;=DATA!$C$75,DATA!$C$69=3),$B$128,"")))</f>
        <v/>
      </c>
      <c r="I39" s="96" t="str">
        <f>IF(A39&lt;DATA!$C$75,C39,IF(A39=DATA!$C$75,DATA!$C$74,IF(A39&gt;DATA!$C$75,"")))</f>
        <v/>
      </c>
      <c r="J39" s="96" t="str">
        <f>IF(A39&lt;DATA!$C$75,D39,IF(A39=DATA!$C$75,I39+J42,""))</f>
        <v/>
      </c>
      <c r="K39" s="96" t="str">
        <f>IF(AND(A39&lt;=DATA!$C$75,DATA!$C$69=1),$B$126,IF(AND(A39&lt;=DATA!$C$75,DATA!$C$69=2),$B$127,IF(AND(A39&lt;=DATA!$C$75,DATA!$C$69=3),$B$128,"")))</f>
        <v/>
      </c>
      <c r="L39" s="96" t="str">
        <f>IF(A39&lt;=DATA!$C$75,'5'!B39,"")</f>
        <v/>
      </c>
    </row>
    <row r="40" spans="1:12">
      <c r="F40" s="127" t="str">
        <f>IF('4'!$C$18=$A42,'4'!$O$15,IF('4'!$C$22=$A42,'4'!$O$19,""))</f>
        <v/>
      </c>
      <c r="G40" s="128"/>
      <c r="H40" s="128"/>
      <c r="I40" s="128"/>
      <c r="J40" s="128"/>
      <c r="K40" s="128"/>
      <c r="L40" s="129"/>
    </row>
    <row r="41" spans="1:12">
      <c r="F41" s="127" t="str">
        <f>IF(A42&lt;DATA!$C$75,'4'!$O$8,IF(A42=DATA!$C$75,'4'!$O$9,IF(A42&gt;DATA!$C$75,"")))</f>
        <v/>
      </c>
      <c r="G41" s="128"/>
      <c r="H41" s="128"/>
      <c r="I41" s="128"/>
      <c r="J41" s="128"/>
      <c r="K41" s="128"/>
      <c r="L41" s="129"/>
    </row>
    <row r="42" spans="1:12">
      <c r="A42" s="90">
        <f t="shared" si="7"/>
        <v>27</v>
      </c>
      <c r="B42" s="91">
        <f>'4'!$D$12</f>
        <v>23.949999999999989</v>
      </c>
      <c r="C42" s="90">
        <f>DATA!$C$73</f>
        <v>64</v>
      </c>
      <c r="D42" s="90">
        <f t="shared" ref="D42" si="17">C42*A42</f>
        <v>1728</v>
      </c>
      <c r="F42" s="96" t="str">
        <f>IF(A42&lt;=DATA!$C$75,'5'!A42,"")</f>
        <v/>
      </c>
      <c r="G42" s="96" t="str">
        <f>IF($A42&lt;=DATA!$C$75,'5'!B42,"")</f>
        <v/>
      </c>
      <c r="H42" s="96" t="str">
        <f>IF(AND(A42&lt;=DATA!$C$75,DATA!$C$69=1),$B$126,IF(AND(A42&lt;=DATA!$C$75,DATA!$C$69=2),$B$127,IF(AND(A42&lt;=DATA!$C$75,DATA!$C$69=3),$B$128,"")))</f>
        <v/>
      </c>
      <c r="I42" s="96" t="str">
        <f>IF(A42&lt;DATA!$C$75,C42,IF(A42=DATA!$C$75,DATA!$C$74,IF(A42&gt;DATA!$C$75,"")))</f>
        <v/>
      </c>
      <c r="J42" s="96" t="str">
        <f>IF(A42&lt;DATA!$C$75,D42,IF(A42=DATA!$C$75,I42+J45,""))</f>
        <v/>
      </c>
      <c r="K42" s="96" t="str">
        <f>IF(AND(A42&lt;=DATA!$C$75,DATA!$C$69=1),$B$126,IF(AND(A42&lt;=DATA!$C$75,DATA!$C$69=2),$B$127,IF(AND(A42&lt;=DATA!$C$75,DATA!$C$69=3),$B$128,"")))</f>
        <v/>
      </c>
      <c r="L42" s="96" t="str">
        <f>IF(A42&lt;=DATA!$C$75,'5'!B42,"")</f>
        <v/>
      </c>
    </row>
    <row r="43" spans="1:12">
      <c r="F43" s="127" t="str">
        <f>IF('4'!$C$18=$A45,'4'!$O$15,IF('4'!$C$22=$A45,'4'!$O$19,""))</f>
        <v/>
      </c>
      <c r="G43" s="128"/>
      <c r="H43" s="128"/>
      <c r="I43" s="128"/>
      <c r="J43" s="128"/>
      <c r="K43" s="128"/>
      <c r="L43" s="129"/>
    </row>
    <row r="44" spans="1:12">
      <c r="F44" s="127" t="str">
        <f>IF(A45&lt;DATA!$C$75,'4'!$O$8,IF(A45=DATA!$C$75,'4'!$O$9,IF(A45&gt;DATA!$C$75,"")))</f>
        <v/>
      </c>
      <c r="G44" s="128"/>
      <c r="H44" s="128"/>
      <c r="I44" s="128"/>
      <c r="J44" s="128"/>
      <c r="K44" s="128"/>
      <c r="L44" s="129"/>
    </row>
    <row r="45" spans="1:12">
      <c r="A45" s="90">
        <f t="shared" si="7"/>
        <v>26</v>
      </c>
      <c r="B45" s="91">
        <f>'4'!$D$12</f>
        <v>23.949999999999989</v>
      </c>
      <c r="C45" s="90">
        <f>DATA!$C$73</f>
        <v>64</v>
      </c>
      <c r="D45" s="90">
        <f t="shared" ref="D45" si="18">C45*A45</f>
        <v>1664</v>
      </c>
      <c r="F45" s="96" t="str">
        <f>IF(A45&lt;=DATA!$C$75,'5'!A45,"")</f>
        <v/>
      </c>
      <c r="G45" s="96" t="str">
        <f>IF($A45&lt;=DATA!$C$75,'5'!B45,"")</f>
        <v/>
      </c>
      <c r="H45" s="96" t="str">
        <f>IF(AND(A45&lt;=DATA!$C$75,DATA!$C$69=1),$B$126,IF(AND(A45&lt;=DATA!$C$75,DATA!$C$69=2),$B$127,IF(AND(A45&lt;=DATA!$C$75,DATA!$C$69=3),$B$128,"")))</f>
        <v/>
      </c>
      <c r="I45" s="96" t="str">
        <f>IF(A45&lt;DATA!$C$75,C45,IF(A45=DATA!$C$75,DATA!$C$74,IF(A45&gt;DATA!$C$75,"")))</f>
        <v/>
      </c>
      <c r="J45" s="96" t="str">
        <f>IF(A45&lt;DATA!$C$75,D45,IF(A45=DATA!$C$75,I45+J48,""))</f>
        <v/>
      </c>
      <c r="K45" s="96" t="str">
        <f>IF(AND(A45&lt;=DATA!$C$75,DATA!$C$69=1),$B$126,IF(AND(A45&lt;=DATA!$C$75,DATA!$C$69=2),$B$127,IF(AND(A45&lt;=DATA!$C$75,DATA!$C$69=3),$B$128,"")))</f>
        <v/>
      </c>
      <c r="L45" s="96" t="str">
        <f>IF(A45&lt;=DATA!$C$75,'5'!B45,"")</f>
        <v/>
      </c>
    </row>
    <row r="46" spans="1:12">
      <c r="F46" s="127" t="str">
        <f>IF('4'!$C$18=$A48,'4'!$O$15,IF('4'!$C$22=$A48,'4'!$O$19,""))</f>
        <v/>
      </c>
      <c r="G46" s="128"/>
      <c r="H46" s="128"/>
      <c r="I46" s="128"/>
      <c r="J46" s="128"/>
      <c r="K46" s="128"/>
      <c r="L46" s="129"/>
    </row>
    <row r="47" spans="1:12">
      <c r="F47" s="127" t="str">
        <f>IF(A48&lt;DATA!$C$75,'4'!$O$8,IF(A48=DATA!$C$75,'4'!$O$9,IF(A48&gt;DATA!$C$75,"")))</f>
        <v/>
      </c>
      <c r="G47" s="128"/>
      <c r="H47" s="128"/>
      <c r="I47" s="128"/>
      <c r="J47" s="128"/>
      <c r="K47" s="128"/>
      <c r="L47" s="129"/>
    </row>
    <row r="48" spans="1:12">
      <c r="A48" s="90">
        <f t="shared" si="7"/>
        <v>25</v>
      </c>
      <c r="B48" s="91">
        <f>'4'!$D$12</f>
        <v>23.949999999999989</v>
      </c>
      <c r="C48" s="90">
        <f>DATA!$C$73</f>
        <v>64</v>
      </c>
      <c r="D48" s="90">
        <f t="shared" ref="D48" si="19">C48*A48</f>
        <v>1600</v>
      </c>
      <c r="F48" s="96" t="str">
        <f>IF(A48&lt;=DATA!$C$75,'5'!A48,"")</f>
        <v/>
      </c>
      <c r="G48" s="96" t="str">
        <f>IF($A48&lt;=DATA!$C$75,'5'!B48,"")</f>
        <v/>
      </c>
      <c r="H48" s="96" t="str">
        <f>IF(AND(A48&lt;=DATA!$C$75,DATA!$C$69=1),$B$126,IF(AND(A48&lt;=DATA!$C$75,DATA!$C$69=2),$B$127,IF(AND(A48&lt;=DATA!$C$75,DATA!$C$69=3),$B$128,"")))</f>
        <v/>
      </c>
      <c r="I48" s="96" t="str">
        <f>IF(A48&lt;DATA!$C$75,C48,IF(A48=DATA!$C$75,DATA!$C$74,IF(A48&gt;DATA!$C$75,"")))</f>
        <v/>
      </c>
      <c r="J48" s="96" t="str">
        <f>IF(A48&lt;DATA!$C$75,D48,IF(A48=DATA!$C$75,I48+J51,""))</f>
        <v/>
      </c>
      <c r="K48" s="96" t="str">
        <f>IF(AND(A48&lt;=DATA!$C$75,DATA!$C$69=1),$B$126,IF(AND(A48&lt;=DATA!$C$75,DATA!$C$69=2),$B$127,IF(AND(A48&lt;=DATA!$C$75,DATA!$C$69=3),$B$128,"")))</f>
        <v/>
      </c>
      <c r="L48" s="96" t="str">
        <f>IF(A48&lt;=DATA!$C$75,'5'!B48,"")</f>
        <v/>
      </c>
    </row>
    <row r="49" spans="1:17">
      <c r="F49" s="127" t="str">
        <f>IF('4'!$C$18=$A51,'4'!$O$15,IF('4'!$C$22=$A51,'4'!$O$19,""))</f>
        <v/>
      </c>
      <c r="G49" s="128"/>
      <c r="H49" s="128"/>
      <c r="I49" s="128"/>
      <c r="J49" s="128"/>
      <c r="K49" s="128"/>
      <c r="L49" s="129"/>
    </row>
    <row r="50" spans="1:17">
      <c r="F50" s="127" t="str">
        <f>IF(A51&lt;DATA!$C$75,'4'!$O$8,IF(A51=DATA!$C$75,'4'!$O$9,IF(A51&gt;DATA!$C$75,"")))</f>
        <v/>
      </c>
      <c r="G50" s="128"/>
      <c r="H50" s="128"/>
      <c r="I50" s="128"/>
      <c r="J50" s="128"/>
      <c r="K50" s="128"/>
      <c r="L50" s="129"/>
    </row>
    <row r="51" spans="1:17">
      <c r="A51" s="90">
        <f t="shared" si="7"/>
        <v>24</v>
      </c>
      <c r="B51" s="91">
        <f>'4'!$D$12</f>
        <v>23.949999999999989</v>
      </c>
      <c r="C51" s="90">
        <f>DATA!$C$73</f>
        <v>64</v>
      </c>
      <c r="D51" s="90">
        <f t="shared" ref="D51" si="20">C51*A51</f>
        <v>1536</v>
      </c>
      <c r="F51" s="96" t="str">
        <f>IF(A51&lt;=DATA!$C$75,'5'!A51,"")</f>
        <v/>
      </c>
      <c r="G51" s="96" t="str">
        <f>IF($A51&lt;=DATA!$C$75,'5'!B51,"")</f>
        <v/>
      </c>
      <c r="H51" s="96" t="str">
        <f>IF(AND(A51&lt;=DATA!$C$75,DATA!$C$69=1),$B$126,IF(AND(A51&lt;=DATA!$C$75,DATA!$C$69=2),$B$127,IF(AND(A51&lt;=DATA!$C$75,DATA!$C$69=3),$B$128,"")))</f>
        <v/>
      </c>
      <c r="I51" s="96" t="str">
        <f>IF(A51&lt;DATA!$C$75,C51,IF(A51=DATA!$C$75,DATA!$C$74,IF(A51&gt;DATA!$C$75,"")))</f>
        <v/>
      </c>
      <c r="J51" s="96" t="str">
        <f>IF(A51&lt;DATA!$C$75,D51,IF(A51=DATA!$C$75,I51+J54,""))</f>
        <v/>
      </c>
      <c r="K51" s="96" t="str">
        <f>IF(AND(A51&lt;=DATA!$C$75,DATA!$C$69=1),$B$126,IF(AND(A51&lt;=DATA!$C$75,DATA!$C$69=2),$B$127,IF(AND(A51&lt;=DATA!$C$75,DATA!$C$69=3),$B$128,"")))</f>
        <v/>
      </c>
      <c r="L51" s="96" t="str">
        <f>IF(A51&lt;=DATA!$C$75,'5'!B51,"")</f>
        <v/>
      </c>
    </row>
    <row r="52" spans="1:17">
      <c r="F52" s="127" t="str">
        <f>IF('4'!$C$18=$A54,'4'!$O$15,IF('4'!$C$22=$A54,'4'!$O$19,""))</f>
        <v/>
      </c>
      <c r="G52" s="128"/>
      <c r="H52" s="128"/>
      <c r="I52" s="128"/>
      <c r="J52" s="128"/>
      <c r="K52" s="128"/>
      <c r="L52" s="129"/>
    </row>
    <row r="53" spans="1:17">
      <c r="F53" s="127" t="str">
        <f>IF(A54&lt;DATA!$C$75,'4'!$O$8,IF(A54=DATA!$C$75,'4'!$O$9,IF(A54&gt;DATA!$C$75,"")))</f>
        <v/>
      </c>
      <c r="G53" s="128"/>
      <c r="H53" s="128"/>
      <c r="I53" s="128"/>
      <c r="J53" s="128"/>
      <c r="K53" s="128"/>
      <c r="L53" s="129"/>
    </row>
    <row r="54" spans="1:17">
      <c r="A54" s="90">
        <f t="shared" si="7"/>
        <v>23</v>
      </c>
      <c r="B54" s="91">
        <f>'4'!$D$12</f>
        <v>23.949999999999989</v>
      </c>
      <c r="C54" s="90">
        <f>DATA!$C$73</f>
        <v>64</v>
      </c>
      <c r="D54" s="90">
        <f t="shared" ref="D54" si="21">C54*A54</f>
        <v>1472</v>
      </c>
      <c r="F54" s="96" t="str">
        <f>IF(A54&lt;=DATA!$C$75,'5'!A54,"")</f>
        <v/>
      </c>
      <c r="G54" s="96" t="str">
        <f>IF($A54&lt;=DATA!$C$75,'5'!B54,"")</f>
        <v/>
      </c>
      <c r="H54" s="96" t="str">
        <f>IF(AND(A54&lt;=DATA!$C$75,DATA!$C$69=1),$B$126,IF(AND(A54&lt;=DATA!$C$75,DATA!$C$69=2),$B$127,IF(AND(A54&lt;=DATA!$C$75,DATA!$C$69=3),$B$128,"")))</f>
        <v/>
      </c>
      <c r="I54" s="96" t="str">
        <f>IF(A54&lt;DATA!$C$75,C54,IF(A54=DATA!$C$75,DATA!$C$74,IF(A54&gt;DATA!$C$75,"")))</f>
        <v/>
      </c>
      <c r="J54" s="96" t="str">
        <f>IF(A54&lt;DATA!$C$75,D54,IF(A54=DATA!$C$75,I54+J57,""))</f>
        <v/>
      </c>
      <c r="K54" s="96" t="str">
        <f>IF(AND(A54&lt;=DATA!$C$75,DATA!$C$69=1),$B$126,IF(AND(A54&lt;=DATA!$C$75,DATA!$C$69=2),$B$127,IF(AND(A54&lt;=DATA!$C$75,DATA!$C$69=3),$B$128,"")))</f>
        <v/>
      </c>
      <c r="L54" s="96" t="str">
        <f>IF(A54&lt;=DATA!$C$75,'5'!B54,"")</f>
        <v/>
      </c>
    </row>
    <row r="55" spans="1:17">
      <c r="F55" s="127" t="str">
        <f>IF('4'!$C$18=$A57,'4'!$O$15,IF('4'!$C$22=$A57,'4'!$O$19,""))</f>
        <v/>
      </c>
      <c r="G55" s="128"/>
      <c r="H55" s="128"/>
      <c r="I55" s="128"/>
      <c r="J55" s="128"/>
      <c r="K55" s="128"/>
      <c r="L55" s="129"/>
    </row>
    <row r="56" spans="1:17">
      <c r="F56" s="127" t="str">
        <f>IF(A57&lt;DATA!$C$75,'4'!$O$8,IF(A57=DATA!$C$75,'4'!$O$9,IF(A57&gt;DATA!$C$75,"")))</f>
        <v/>
      </c>
      <c r="G56" s="128"/>
      <c r="H56" s="128"/>
      <c r="I56" s="128"/>
      <c r="J56" s="128"/>
      <c r="K56" s="128"/>
      <c r="L56" s="129"/>
    </row>
    <row r="57" spans="1:17">
      <c r="A57" s="90">
        <f t="shared" si="7"/>
        <v>22</v>
      </c>
      <c r="B57" s="91">
        <f>'4'!$D$12</f>
        <v>23.949999999999989</v>
      </c>
      <c r="C57" s="90">
        <f>DATA!$C$73</f>
        <v>64</v>
      </c>
      <c r="D57" s="90">
        <f t="shared" ref="D57" si="22">C57*A57</f>
        <v>1408</v>
      </c>
      <c r="F57" s="96" t="str">
        <f>IF(A57&lt;=DATA!$C$75,'5'!A57,"")</f>
        <v/>
      </c>
      <c r="G57" s="96" t="str">
        <f>IF($A57&lt;=DATA!$C$75,'5'!B57,"")</f>
        <v/>
      </c>
      <c r="H57" s="96" t="str">
        <f>IF(AND(A57&lt;=DATA!$C$75,DATA!$C$69=1),$B$126,IF(AND(A57&lt;=DATA!$C$75,DATA!$C$69=2),$B$127,IF(AND(A57&lt;=DATA!$C$75,DATA!$C$69=3),$B$128,"")))</f>
        <v/>
      </c>
      <c r="I57" s="96" t="str">
        <f>IF(A57&lt;DATA!$C$75,C57,IF(A57=DATA!$C$75,DATA!$C$74,IF(A57&gt;DATA!$C$75,"")))</f>
        <v/>
      </c>
      <c r="J57" s="96" t="str">
        <f>IF(A57&lt;DATA!$C$75,D57,IF(A57=DATA!$C$75,I57+J60,""))</f>
        <v/>
      </c>
      <c r="K57" s="96" t="str">
        <f>IF(AND(A57&lt;=DATA!$C$75,DATA!$C$69=1),$B$126,IF(AND(A57&lt;=DATA!$C$75,DATA!$C$69=2),$B$127,IF(AND(A57&lt;=DATA!$C$75,DATA!$C$69=3),$B$128,"")))</f>
        <v/>
      </c>
      <c r="L57" s="96" t="str">
        <f>IF(A57&lt;=DATA!$C$75,'5'!B57,"")</f>
        <v/>
      </c>
    </row>
    <row r="58" spans="1:17">
      <c r="F58" s="127" t="str">
        <f>IF('4'!$C$18=$A60,'4'!$O$15,IF('4'!$C$22=$A60,'4'!$O$19,""))</f>
        <v/>
      </c>
      <c r="G58" s="128"/>
      <c r="H58" s="128"/>
      <c r="I58" s="128"/>
      <c r="J58" s="128"/>
      <c r="K58" s="128"/>
      <c r="L58" s="129"/>
      <c r="N58" s="90"/>
      <c r="O58" s="90"/>
      <c r="P58" s="90"/>
      <c r="Q58" s="90"/>
    </row>
    <row r="59" spans="1:17">
      <c r="F59" s="127" t="str">
        <f>IF(A60&lt;DATA!$C$75,'4'!$O$8,IF(A60=DATA!$C$75,'4'!$O$9,IF(A60&gt;DATA!$C$75,"")))</f>
        <v/>
      </c>
      <c r="G59" s="128"/>
      <c r="H59" s="128"/>
      <c r="I59" s="128"/>
      <c r="J59" s="128"/>
      <c r="K59" s="128"/>
      <c r="L59" s="129"/>
    </row>
    <row r="60" spans="1:17">
      <c r="A60" s="90">
        <f t="shared" ref="A60" si="23">A63+1</f>
        <v>21</v>
      </c>
      <c r="B60" s="91">
        <f>'4'!$D$12</f>
        <v>23.949999999999989</v>
      </c>
      <c r="C60" s="90">
        <f>DATA!$C$73</f>
        <v>64</v>
      </c>
      <c r="D60" s="90">
        <f t="shared" ref="D60" si="24">C60*A60</f>
        <v>1344</v>
      </c>
      <c r="F60" s="96" t="str">
        <f>IF(A60&lt;=DATA!$C$75,'5'!A60,"")</f>
        <v/>
      </c>
      <c r="G60" s="96" t="str">
        <f>IF($A60&lt;=DATA!$C$75,'5'!B60,"")</f>
        <v/>
      </c>
      <c r="H60" s="96" t="str">
        <f>IF(AND(A60&lt;=DATA!$C$75,DATA!$C$69=1),$B$126,IF(AND(A60&lt;=DATA!$C$75,DATA!$C$69=2),$B$127,IF(AND(A60&lt;=DATA!$C$75,DATA!$C$69=3),$B$128,"")))</f>
        <v/>
      </c>
      <c r="I60" s="96" t="str">
        <f>IF(A60&lt;DATA!$C$75,C60,IF(A60=DATA!$C$75,DATA!$C$74,IF(A60&gt;DATA!$C$75,"")))</f>
        <v/>
      </c>
      <c r="J60" s="96" t="str">
        <f>IF(A60&lt;DATA!$C$75,D60,IF(A60=DATA!$C$75,I60+J63,""))</f>
        <v/>
      </c>
      <c r="K60" s="96" t="str">
        <f>IF(AND(A60&lt;=DATA!$C$75,DATA!$C$69=1),$B$126,IF(AND(A60&lt;=DATA!$C$75,DATA!$C$69=2),$B$127,IF(AND(A60&lt;=DATA!$C$75,DATA!$C$69=3),$B$128,"")))</f>
        <v/>
      </c>
      <c r="L60" s="96" t="str">
        <f>IF(A60&lt;=DATA!$C$75,'5'!B60,"")</f>
        <v/>
      </c>
    </row>
    <row r="61" spans="1:17">
      <c r="F61" s="127" t="str">
        <f>IF('4'!$C$18=$A63,'4'!$O$15,IF('4'!$C$22=$A63,'4'!$O$19,""))</f>
        <v/>
      </c>
      <c r="G61" s="128"/>
      <c r="H61" s="128"/>
      <c r="I61" s="128"/>
      <c r="J61" s="128"/>
      <c r="K61" s="128"/>
      <c r="L61" s="129"/>
    </row>
    <row r="62" spans="1:17">
      <c r="F62" s="127" t="str">
        <f>IF(A63&lt;DATA!$C$75,'4'!$O$8,IF(A63=DATA!$C$75,'4'!$O$9,IF(A63&gt;DATA!$C$75,"")))</f>
        <v/>
      </c>
      <c r="G62" s="128"/>
      <c r="H62" s="128"/>
      <c r="I62" s="128"/>
      <c r="J62" s="128"/>
      <c r="K62" s="128"/>
      <c r="L62" s="129"/>
    </row>
    <row r="63" spans="1:17">
      <c r="A63" s="90">
        <f t="shared" ref="A63" si="25">A66+1</f>
        <v>20</v>
      </c>
      <c r="B63" s="91">
        <f>'4'!$D$12</f>
        <v>23.949999999999989</v>
      </c>
      <c r="C63" s="90">
        <f>DATA!$C$73</f>
        <v>64</v>
      </c>
      <c r="D63" s="90">
        <f t="shared" ref="D63" si="26">C63*A63</f>
        <v>1280</v>
      </c>
      <c r="F63" s="96" t="str">
        <f>IF(A63&lt;=DATA!$C$75,'5'!A63,"")</f>
        <v/>
      </c>
      <c r="G63" s="96" t="str">
        <f>IF($A63&lt;=DATA!$C$75,'5'!B63,"")</f>
        <v/>
      </c>
      <c r="H63" s="96" t="str">
        <f>IF(AND(A63&lt;=DATA!$C$75,DATA!$C$69=1),$B$126,IF(AND(A63&lt;=DATA!$C$75,DATA!$C$69=2),$B$127,IF(AND(A63&lt;=DATA!$C$75,DATA!$C$69=3),$B$128,"")))</f>
        <v/>
      </c>
      <c r="I63" s="96" t="str">
        <f>IF(A63&lt;DATA!$C$75,C63,IF(A63=DATA!$C$75,DATA!$C$74,IF(A63&gt;DATA!$C$75,"")))</f>
        <v/>
      </c>
      <c r="J63" s="96" t="str">
        <f>IF(A63&lt;DATA!$C$75,D63,IF(A63=DATA!$C$75,I63+J66,""))</f>
        <v/>
      </c>
      <c r="K63" s="96" t="str">
        <f>IF(AND(A63&lt;=DATA!$C$75,DATA!$C$69=1),$B$126,IF(AND(A63&lt;=DATA!$C$75,DATA!$C$69=2),$B$127,IF(AND(A63&lt;=DATA!$C$75,DATA!$C$69=3),$B$128,"")))</f>
        <v/>
      </c>
      <c r="L63" s="96" t="str">
        <f>IF(A63&lt;=DATA!$C$75,'5'!B63,"")</f>
        <v/>
      </c>
    </row>
    <row r="64" spans="1:17">
      <c r="F64" s="127" t="str">
        <f>IF('4'!$C$18=$A66,'4'!$O$15,IF('4'!$C$22=$A66,'4'!$O$19,""))</f>
        <v/>
      </c>
      <c r="G64" s="128"/>
      <c r="H64" s="128"/>
      <c r="I64" s="128"/>
      <c r="J64" s="128"/>
      <c r="K64" s="128"/>
      <c r="L64" s="129"/>
    </row>
    <row r="65" spans="1:12">
      <c r="F65" s="127" t="str">
        <f>IF(A66&lt;DATA!$C$75,'4'!$O$8,IF(A66=DATA!$C$75,'4'!$O$9,IF(A66&gt;DATA!$C$75,"")))</f>
        <v/>
      </c>
      <c r="G65" s="128"/>
      <c r="H65" s="128"/>
      <c r="I65" s="128"/>
      <c r="J65" s="128"/>
      <c r="K65" s="128"/>
      <c r="L65" s="129"/>
    </row>
    <row r="66" spans="1:12">
      <c r="A66" s="90">
        <f t="shared" ref="A66" si="27">A69+1</f>
        <v>19</v>
      </c>
      <c r="B66" s="91">
        <f>'4'!$D$12</f>
        <v>23.949999999999989</v>
      </c>
      <c r="C66" s="90">
        <f>DATA!$C$73</f>
        <v>64</v>
      </c>
      <c r="D66" s="90">
        <f t="shared" ref="D66" si="28">C66*A66</f>
        <v>1216</v>
      </c>
      <c r="F66" s="96" t="str">
        <f>IF(A66&lt;=DATA!$C$75,'5'!A66,"")</f>
        <v/>
      </c>
      <c r="G66" s="96" t="str">
        <f>IF($A66&lt;=DATA!$C$75,'5'!B66,"")</f>
        <v/>
      </c>
      <c r="H66" s="96" t="str">
        <f>IF(AND(A66&lt;=DATA!$C$75,DATA!$C$69=1),$B$126,IF(AND(A66&lt;=DATA!$C$75,DATA!$C$69=2),$B$127,IF(AND(A66&lt;=DATA!$C$75,DATA!$C$69=3),$B$128,"")))</f>
        <v/>
      </c>
      <c r="I66" s="96" t="str">
        <f>IF(A66&lt;DATA!$C$75,C66,IF(A66=DATA!$C$75,DATA!$C$74,IF(A66&gt;DATA!$C$75,"")))</f>
        <v/>
      </c>
      <c r="J66" s="96" t="str">
        <f>IF(A66&lt;DATA!$C$75,D66,IF(A66=DATA!$C$75,I66+J69,""))</f>
        <v/>
      </c>
      <c r="K66" s="96" t="str">
        <f>IF(AND(A66&lt;=DATA!$C$75,DATA!$C$69=1),$B$126,IF(AND(A66&lt;=DATA!$C$75,DATA!$C$69=2),$B$127,IF(AND(A66&lt;=DATA!$C$75,DATA!$C$69=3),$B$128,"")))</f>
        <v/>
      </c>
      <c r="L66" s="96" t="str">
        <f>IF(A66&lt;=DATA!$C$75,'5'!B66,"")</f>
        <v/>
      </c>
    </row>
    <row r="67" spans="1:12">
      <c r="F67" s="127" t="str">
        <f>IF('4'!$C$18=$A69,'4'!$O$15,IF('4'!$C$22=$A69,'4'!$O$19,""))</f>
        <v/>
      </c>
      <c r="G67" s="128"/>
      <c r="H67" s="128"/>
      <c r="I67" s="128"/>
      <c r="J67" s="128"/>
      <c r="K67" s="128"/>
      <c r="L67" s="129"/>
    </row>
    <row r="68" spans="1:12">
      <c r="F68" s="127" t="str">
        <f>IF(A69&lt;DATA!$C$75,'4'!$O$8,IF(A69=DATA!$C$75,'4'!$O$9,IF(A69&gt;DATA!$C$75,"")))</f>
        <v/>
      </c>
      <c r="G68" s="128"/>
      <c r="H68" s="128"/>
      <c r="I68" s="128"/>
      <c r="J68" s="128"/>
      <c r="K68" s="128"/>
      <c r="L68" s="129"/>
    </row>
    <row r="69" spans="1:12">
      <c r="A69" s="90">
        <f t="shared" ref="A69" si="29">A72+1</f>
        <v>18</v>
      </c>
      <c r="B69" s="91">
        <f>'4'!$D$12</f>
        <v>23.949999999999989</v>
      </c>
      <c r="C69" s="90">
        <f>DATA!$C$73</f>
        <v>64</v>
      </c>
      <c r="D69" s="90">
        <f t="shared" ref="D69" si="30">C69*A69</f>
        <v>1152</v>
      </c>
      <c r="F69" s="96" t="str">
        <f>IF(A69&lt;=DATA!$C$75,'5'!A69,"")</f>
        <v/>
      </c>
      <c r="G69" s="96" t="str">
        <f>IF($A69&lt;=DATA!$C$75,'5'!B69,"")</f>
        <v/>
      </c>
      <c r="H69" s="96" t="str">
        <f>IF(AND(A69&lt;=DATA!$C$75,DATA!$C$69=1),$B$126,IF(AND(A69&lt;=DATA!$C$75,DATA!$C$69=2),$B$127,IF(AND(A69&lt;=DATA!$C$75,DATA!$C$69=3),$B$128,"")))</f>
        <v/>
      </c>
      <c r="I69" s="96" t="str">
        <f>IF(A69&lt;DATA!$C$75,C69,IF(A69=DATA!$C$75,DATA!$C$74,IF(A69&gt;DATA!$C$75,"")))</f>
        <v/>
      </c>
      <c r="J69" s="96" t="str">
        <f>IF(A69&lt;DATA!$C$75,D69,IF(A69=DATA!$C$75,I69+J72,""))</f>
        <v/>
      </c>
      <c r="K69" s="96" t="str">
        <f>IF(AND(A69&lt;=DATA!$C$75,DATA!$C$69=1),$B$126,IF(AND(A69&lt;=DATA!$C$75,DATA!$C$69=2),$B$127,IF(AND(A69&lt;=DATA!$C$75,DATA!$C$69=3),$B$128,"")))</f>
        <v/>
      </c>
      <c r="L69" s="96" t="str">
        <f>IF(A69&lt;=DATA!$C$75,'5'!B69,"")</f>
        <v/>
      </c>
    </row>
    <row r="70" spans="1:12">
      <c r="F70" s="127" t="str">
        <f>IF('4'!$C$18=$A72,'4'!$O$15,IF('4'!$C$22=$A72,'4'!$O$19,""))</f>
        <v/>
      </c>
      <c r="G70" s="128"/>
      <c r="H70" s="128"/>
      <c r="I70" s="128"/>
      <c r="J70" s="128"/>
      <c r="K70" s="128"/>
      <c r="L70" s="129"/>
    </row>
    <row r="71" spans="1:12">
      <c r="F71" s="127" t="str">
        <f>IF(A72&lt;DATA!$C$75,'4'!$O$8,IF(A72=DATA!$C$75,'4'!$O$9,IF(A72&gt;DATA!$C$75,"")))</f>
        <v/>
      </c>
      <c r="G71" s="128"/>
      <c r="H71" s="128"/>
      <c r="I71" s="128"/>
      <c r="J71" s="128"/>
      <c r="K71" s="128"/>
      <c r="L71" s="129"/>
    </row>
    <row r="72" spans="1:12">
      <c r="A72" s="90">
        <f t="shared" ref="A72" si="31">A75+1</f>
        <v>17</v>
      </c>
      <c r="B72" s="91">
        <f>'4'!$D$12</f>
        <v>23.949999999999989</v>
      </c>
      <c r="C72" s="90">
        <f>DATA!$C$73</f>
        <v>64</v>
      </c>
      <c r="D72" s="90">
        <f t="shared" ref="D72" si="32">C72*A72</f>
        <v>1088</v>
      </c>
      <c r="F72" s="96" t="str">
        <f>IF(A72&lt;=DATA!$C$75,'5'!A72,"")</f>
        <v/>
      </c>
      <c r="G72" s="96" t="str">
        <f>IF($A72&lt;=DATA!$C$75,'5'!B72,"")</f>
        <v/>
      </c>
      <c r="H72" s="96" t="str">
        <f>IF(AND(A72&lt;=DATA!$C$75,DATA!$C$69=1),$B$126,IF(AND(A72&lt;=DATA!$C$75,DATA!$C$69=2),$B$127,IF(AND(A72&lt;=DATA!$C$75,DATA!$C$69=3),$B$128,"")))</f>
        <v/>
      </c>
      <c r="I72" s="96" t="str">
        <f>IF(A72&lt;DATA!$C$75,C72,IF(A72=DATA!$C$75,DATA!$C$74,IF(A72&gt;DATA!$C$75,"")))</f>
        <v/>
      </c>
      <c r="J72" s="96" t="str">
        <f>IF(A72&lt;DATA!$C$75,D72,IF(A72=DATA!$C$75,I72+J75,""))</f>
        <v/>
      </c>
      <c r="K72" s="96" t="str">
        <f>IF(AND(A72&lt;=DATA!$C$75,DATA!$C$69=1),$B$126,IF(AND(A72&lt;=DATA!$C$75,DATA!$C$69=2),$B$127,IF(AND(A72&lt;=DATA!$C$75,DATA!$C$69=3),$B$128,"")))</f>
        <v/>
      </c>
      <c r="L72" s="96" t="str">
        <f>IF(A72&lt;=DATA!$C$75,'5'!B72,"")</f>
        <v/>
      </c>
    </row>
    <row r="73" spans="1:12">
      <c r="F73" s="127" t="str">
        <f>IF('4'!$C$18=$A75,'4'!$O$15,IF('4'!$C$22=$A75,'4'!$O$19,""))</f>
        <v/>
      </c>
      <c r="G73" s="128"/>
      <c r="H73" s="128"/>
      <c r="I73" s="128"/>
      <c r="J73" s="128"/>
      <c r="K73" s="128"/>
      <c r="L73" s="129"/>
    </row>
    <row r="74" spans="1:12">
      <c r="F74" s="127" t="str">
        <f>IF(A75&lt;DATA!$C$75,'4'!$O$8,IF(A75=DATA!$C$75,'4'!$O$9,IF(A75&gt;DATA!$C$75,"")))</f>
        <v/>
      </c>
      <c r="G74" s="128"/>
      <c r="H74" s="128"/>
      <c r="I74" s="128"/>
      <c r="J74" s="128"/>
      <c r="K74" s="128"/>
      <c r="L74" s="129"/>
    </row>
    <row r="75" spans="1:12">
      <c r="A75" s="90">
        <f t="shared" ref="A75" si="33">A78+1</f>
        <v>16</v>
      </c>
      <c r="B75" s="91">
        <f>'4'!$D$12</f>
        <v>23.949999999999989</v>
      </c>
      <c r="C75" s="90">
        <f>DATA!$C$73</f>
        <v>64</v>
      </c>
      <c r="D75" s="90">
        <f t="shared" ref="D75" si="34">C75*A75</f>
        <v>1024</v>
      </c>
      <c r="F75" s="96" t="str">
        <f>IF(A75&lt;=DATA!$C$75,'5'!A75,"")</f>
        <v/>
      </c>
      <c r="G75" s="96" t="str">
        <f>IF($A75&lt;=DATA!$C$75,'5'!B75,"")</f>
        <v/>
      </c>
      <c r="H75" s="96" t="str">
        <f>IF(AND(A75&lt;=DATA!$C$75,DATA!$C$69=1),$B$126,IF(AND(A75&lt;=DATA!$C$75,DATA!$C$69=2),$B$127,IF(AND(A75&lt;=DATA!$C$75,DATA!$C$69=3),$B$128,"")))</f>
        <v/>
      </c>
      <c r="I75" s="96" t="str">
        <f>IF(A75&lt;DATA!$C$75,C75,IF(A75=DATA!$C$75,DATA!$C$74,IF(A75&gt;DATA!$C$75,"")))</f>
        <v/>
      </c>
      <c r="J75" s="96" t="str">
        <f>IF(A75&lt;DATA!$C$75,D75,IF(A75=DATA!$C$75,I75+J78,""))</f>
        <v/>
      </c>
      <c r="K75" s="96" t="str">
        <f>IF(AND(A75&lt;=DATA!$C$75,DATA!$C$69=1),$B$126,IF(AND(A75&lt;=DATA!$C$75,DATA!$C$69=2),$B$127,IF(AND(A75&lt;=DATA!$C$75,DATA!$C$69=3),$B$128,"")))</f>
        <v/>
      </c>
      <c r="L75" s="96" t="str">
        <f>IF(A75&lt;=DATA!$C$75,'5'!B75,"")</f>
        <v/>
      </c>
    </row>
    <row r="76" spans="1:12">
      <c r="F76" s="127" t="str">
        <f>IF('4'!$C$18=$A78,'4'!$O$15,IF('4'!$C$22=$A78,'4'!$O$19,""))</f>
        <v/>
      </c>
      <c r="G76" s="128"/>
      <c r="H76" s="128"/>
      <c r="I76" s="128"/>
      <c r="J76" s="128"/>
      <c r="K76" s="128"/>
      <c r="L76" s="129"/>
    </row>
    <row r="77" spans="1:12">
      <c r="F77" s="127" t="str">
        <f>IF(A78&lt;DATA!$C$75,'4'!$O$8,IF(A78=DATA!$C$75,'4'!$O$9,IF(A78&gt;DATA!$C$75,"")))</f>
        <v/>
      </c>
      <c r="G77" s="128"/>
      <c r="H77" s="128"/>
      <c r="I77" s="128"/>
      <c r="J77" s="128"/>
      <c r="K77" s="128"/>
      <c r="L77" s="129"/>
    </row>
    <row r="78" spans="1:12">
      <c r="A78" s="90">
        <f t="shared" ref="A78" si="35">A81+1</f>
        <v>15</v>
      </c>
      <c r="B78" s="91">
        <f>'4'!$D$12</f>
        <v>23.949999999999989</v>
      </c>
      <c r="C78" s="90">
        <f>DATA!$C$73</f>
        <v>64</v>
      </c>
      <c r="D78" s="90">
        <f t="shared" ref="D78" si="36">C78*A78</f>
        <v>960</v>
      </c>
      <c r="F78" s="96" t="str">
        <f>IF(A78&lt;=DATA!$C$75,'5'!A78,"")</f>
        <v/>
      </c>
      <c r="G78" s="96" t="str">
        <f>IF($A78&lt;=DATA!$C$75,'5'!B78,"")</f>
        <v/>
      </c>
      <c r="H78" s="96" t="str">
        <f>IF(AND(A78&lt;=DATA!$C$75,DATA!$C$69=1),$B$126,IF(AND(A78&lt;=DATA!$C$75,DATA!$C$69=2),$B$127,IF(AND(A78&lt;=DATA!$C$75,DATA!$C$69=3),$B$128,"")))</f>
        <v/>
      </c>
      <c r="I78" s="96" t="str">
        <f>IF(A78&lt;DATA!$C$75,C78,IF(A78=DATA!$C$75,DATA!$C$74,IF(A78&gt;DATA!$C$75,"")))</f>
        <v/>
      </c>
      <c r="J78" s="96" t="str">
        <f>IF(A78&lt;DATA!$C$75,D78,IF(A78=DATA!$C$75,I78+J81,""))</f>
        <v/>
      </c>
      <c r="K78" s="96" t="str">
        <f>IF(AND(A78&lt;=DATA!$C$75,DATA!$C$69=1),$B$126,IF(AND(A78&lt;=DATA!$C$75,DATA!$C$69=2),$B$127,IF(AND(A78&lt;=DATA!$C$75,DATA!$C$69=3),$B$128,"")))</f>
        <v/>
      </c>
      <c r="L78" s="96" t="str">
        <f>IF(A78&lt;=DATA!$C$75,'5'!B78,"")</f>
        <v/>
      </c>
    </row>
    <row r="79" spans="1:12">
      <c r="F79" s="127" t="str">
        <f>IF('4'!$C$18=$A81,'4'!$O$15,IF('4'!$C$22=$A81,'4'!$O$19,""))</f>
        <v/>
      </c>
      <c r="G79" s="128"/>
      <c r="H79" s="128"/>
      <c r="I79" s="128"/>
      <c r="J79" s="128"/>
      <c r="K79" s="128"/>
      <c r="L79" s="129"/>
    </row>
    <row r="80" spans="1:12">
      <c r="F80" s="127" t="str">
        <f>IF(A81&lt;DATA!$C$75,'4'!$O$8,IF(A81=DATA!$C$75,'4'!$O$9,IF(A81&gt;DATA!$C$75,"")))</f>
        <v/>
      </c>
      <c r="G80" s="128"/>
      <c r="H80" s="128"/>
      <c r="I80" s="128"/>
      <c r="J80" s="128"/>
      <c r="K80" s="128"/>
      <c r="L80" s="129"/>
    </row>
    <row r="81" spans="1:12">
      <c r="A81" s="90">
        <f t="shared" ref="A81" si="37">A84+1</f>
        <v>14</v>
      </c>
      <c r="B81" s="91">
        <f>'4'!$D$12</f>
        <v>23.949999999999989</v>
      </c>
      <c r="C81" s="90">
        <f>DATA!$C$73</f>
        <v>64</v>
      </c>
      <c r="D81" s="90">
        <f t="shared" ref="D81" si="38">C81*A81</f>
        <v>896</v>
      </c>
      <c r="F81" s="96" t="str">
        <f>IF(A81&lt;=DATA!$C$75,'5'!A81,"")</f>
        <v/>
      </c>
      <c r="G81" s="96" t="str">
        <f>IF($A81&lt;=DATA!$C$75,'5'!B81,"")</f>
        <v/>
      </c>
      <c r="H81" s="96" t="str">
        <f>IF(AND(A81&lt;=DATA!$C$75,DATA!$C$69=1),$B$126,IF(AND(A81&lt;=DATA!$C$75,DATA!$C$69=2),$B$127,IF(AND(A81&lt;=DATA!$C$75,DATA!$C$69=3),$B$128,"")))</f>
        <v/>
      </c>
      <c r="I81" s="96" t="str">
        <f>IF(A81&lt;DATA!$C$75,C81,IF(A81=DATA!$C$75,DATA!$C$74,IF(A81&gt;DATA!$C$75,"")))</f>
        <v/>
      </c>
      <c r="J81" s="96" t="str">
        <f>IF(A81&lt;DATA!$C$75,D81,IF(A81=DATA!$C$75,I81+J84,""))</f>
        <v/>
      </c>
      <c r="K81" s="96" t="str">
        <f>IF(AND(A81&lt;=DATA!$C$75,DATA!$C$69=1),$B$126,IF(AND(A81&lt;=DATA!$C$75,DATA!$C$69=2),$B$127,IF(AND(A81&lt;=DATA!$C$75,DATA!$C$69=3),$B$128,"")))</f>
        <v/>
      </c>
      <c r="L81" s="96" t="str">
        <f>IF(A81&lt;=DATA!$C$75,'5'!B81,"")</f>
        <v/>
      </c>
    </row>
    <row r="82" spans="1:12">
      <c r="F82" s="127" t="str">
        <f>IF('4'!$C$18=$A84,'4'!$O$15,IF('4'!$C$22=$A84,'4'!$O$19,""))</f>
        <v/>
      </c>
      <c r="G82" s="128"/>
      <c r="H82" s="128"/>
      <c r="I82" s="128"/>
      <c r="J82" s="128"/>
      <c r="K82" s="128"/>
      <c r="L82" s="129"/>
    </row>
    <row r="83" spans="1:12">
      <c r="F83" s="127" t="str">
        <f>IF(A84&lt;DATA!$C$75,'4'!$O$8,IF(A84=DATA!$C$75,'4'!$O$9,IF(A84&gt;DATA!$C$75,"")))</f>
        <v/>
      </c>
      <c r="G83" s="128"/>
      <c r="H83" s="128"/>
      <c r="I83" s="128"/>
      <c r="J83" s="128"/>
      <c r="K83" s="128"/>
      <c r="L83" s="129"/>
    </row>
    <row r="84" spans="1:12">
      <c r="A84" s="90">
        <f t="shared" ref="A84" si="39">A87+1</f>
        <v>13</v>
      </c>
      <c r="B84" s="91">
        <f>'4'!$D$12</f>
        <v>23.949999999999989</v>
      </c>
      <c r="C84" s="90">
        <f>DATA!$C$73</f>
        <v>64</v>
      </c>
      <c r="D84" s="90">
        <f t="shared" ref="D84" si="40">C84*A84</f>
        <v>832</v>
      </c>
      <c r="F84" s="96" t="str">
        <f>IF(A84&lt;=DATA!$C$75,'5'!A84,"")</f>
        <v/>
      </c>
      <c r="G84" s="96" t="str">
        <f>IF($A84&lt;=DATA!$C$75,'5'!B84,"")</f>
        <v/>
      </c>
      <c r="H84" s="96" t="str">
        <f>IF(AND(A84&lt;=DATA!$C$75,DATA!$C$69=1),$B$126,IF(AND(A84&lt;=DATA!$C$75,DATA!$C$69=2),$B$127,IF(AND(A84&lt;=DATA!$C$75,DATA!$C$69=3),$B$128,"")))</f>
        <v/>
      </c>
      <c r="I84" s="96" t="str">
        <f>IF(A84&lt;DATA!$C$75,C84,IF(A84=DATA!$C$75,DATA!$C$74,IF(A84&gt;DATA!$C$75,"")))</f>
        <v/>
      </c>
      <c r="J84" s="96" t="str">
        <f>IF(A84&lt;DATA!$C$75,D84,IF(A84=DATA!$C$75,I84+J87,""))</f>
        <v/>
      </c>
      <c r="K84" s="96" t="str">
        <f>IF(AND(A84&lt;=DATA!$C$75,DATA!$C$69=1),$B$126,IF(AND(A84&lt;=DATA!$C$75,DATA!$C$69=2),$B$127,IF(AND(A84&lt;=DATA!$C$75,DATA!$C$69=3),$B$128,"")))</f>
        <v/>
      </c>
      <c r="L84" s="96" t="str">
        <f>IF(A84&lt;=DATA!$C$75,'5'!B84,"")</f>
        <v/>
      </c>
    </row>
    <row r="85" spans="1:12">
      <c r="F85" s="127" t="str">
        <f>IF('4'!$C$18=$A87,'4'!$O$15,IF('4'!$C$22=$A87,'4'!$O$19,""))</f>
        <v/>
      </c>
      <c r="G85" s="128"/>
      <c r="H85" s="128"/>
      <c r="I85" s="128"/>
      <c r="J85" s="128"/>
      <c r="K85" s="128"/>
      <c r="L85" s="129"/>
    </row>
    <row r="86" spans="1:12">
      <c r="F86" s="127" t="str">
        <f>IF(A87&lt;DATA!$C$75,'4'!$O$8,IF(A87=DATA!$C$75,'4'!$O$9,IF(A87&gt;DATA!$C$75,"")))</f>
        <v/>
      </c>
      <c r="G86" s="128"/>
      <c r="H86" s="128"/>
      <c r="I86" s="128"/>
      <c r="J86" s="128"/>
      <c r="K86" s="128"/>
      <c r="L86" s="129"/>
    </row>
    <row r="87" spans="1:12">
      <c r="A87" s="90">
        <f t="shared" ref="A87" si="41">A90+1</f>
        <v>12</v>
      </c>
      <c r="B87" s="91">
        <f>'4'!$D$12</f>
        <v>23.949999999999989</v>
      </c>
      <c r="C87" s="90">
        <f>DATA!$C$73</f>
        <v>64</v>
      </c>
      <c r="D87" s="90">
        <f t="shared" ref="D87" si="42">C87*A87</f>
        <v>768</v>
      </c>
      <c r="F87" s="96" t="str">
        <f>IF(A87&lt;=DATA!$C$75,'5'!A87,"")</f>
        <v/>
      </c>
      <c r="G87" s="96" t="str">
        <f>IF($A87&lt;=DATA!$C$75,'5'!B87,"")</f>
        <v/>
      </c>
      <c r="H87" s="96" t="str">
        <f>IF(AND(A87&lt;=DATA!$C$75,DATA!$C$69=1),$B$126,IF(AND(A87&lt;=DATA!$C$75,DATA!$C$69=2),$B$127,IF(AND(A87&lt;=DATA!$C$75,DATA!$C$69=3),$B$128,"")))</f>
        <v/>
      </c>
      <c r="I87" s="96" t="str">
        <f>IF(A87&lt;DATA!$C$75,C87,IF(A87=DATA!$C$75,DATA!$C$74,IF(A87&gt;DATA!$C$75,"")))</f>
        <v/>
      </c>
      <c r="J87" s="96" t="str">
        <f>IF(A87&lt;DATA!$C$75,D87,IF(A87=DATA!$C$75,I87+J90,""))</f>
        <v/>
      </c>
      <c r="K87" s="96" t="str">
        <f>IF(AND(A87&lt;=DATA!$C$75,DATA!$C$69=1),$B$126,IF(AND(A87&lt;=DATA!$C$75,DATA!$C$69=2),$B$127,IF(AND(A87&lt;=DATA!$C$75,DATA!$C$69=3),$B$128,"")))</f>
        <v/>
      </c>
      <c r="L87" s="96" t="str">
        <f>IF(A87&lt;=DATA!$C$75,'5'!B87,"")</f>
        <v/>
      </c>
    </row>
    <row r="88" spans="1:12">
      <c r="F88" s="127" t="str">
        <f>IF('4'!$C$18=$A90,'4'!$O$15,IF('4'!$C$22=$A90,'4'!$O$19,""))</f>
        <v/>
      </c>
      <c r="G88" s="128"/>
      <c r="H88" s="128"/>
      <c r="I88" s="128"/>
      <c r="J88" s="128"/>
      <c r="K88" s="128"/>
      <c r="L88" s="129"/>
    </row>
    <row r="89" spans="1:12">
      <c r="F89" s="127" t="str">
        <f>IF(A90&lt;DATA!$C$75,'4'!$O$8,IF(A90=DATA!$C$75,'4'!$O$9,IF(A90&gt;DATA!$C$75,"")))</f>
        <v>0.15DDPx463mm</v>
      </c>
      <c r="G89" s="128"/>
      <c r="H89" s="128"/>
      <c r="I89" s="128"/>
      <c r="J89" s="128"/>
      <c r="K89" s="128"/>
      <c r="L89" s="129"/>
    </row>
    <row r="90" spans="1:12">
      <c r="A90" s="90">
        <f t="shared" ref="A90" si="43">A93+1</f>
        <v>11</v>
      </c>
      <c r="B90" s="91">
        <f>'4'!$D$12</f>
        <v>23.949999999999989</v>
      </c>
      <c r="C90" s="90">
        <f>DATA!$C$73</f>
        <v>64</v>
      </c>
      <c r="D90" s="90">
        <f t="shared" ref="D90" si="44">C90*A90</f>
        <v>704</v>
      </c>
      <c r="F90" s="96">
        <f>IF(A90&lt;=DATA!$C$75,'5'!A90,"")</f>
        <v>11</v>
      </c>
      <c r="G90" s="96">
        <f>IF($A90&lt;=DATA!$C$75,'5'!B90,"")</f>
        <v>23.949999999999989</v>
      </c>
      <c r="H90" s="96" t="str">
        <f>IF(AND(A90&lt;=DATA!$C$75,DATA!$C$69=1),$B$126,IF(AND(A90&lt;=DATA!$C$75,DATA!$C$69=2),$B$127,IF(AND(A90&lt;=DATA!$C$75,DATA!$C$69=3),$B$128,"")))</f>
        <v>●●</v>
      </c>
      <c r="I90" s="96">
        <f>IF(A90&lt;DATA!$C$75,C90,IF(A90=DATA!$C$75,DATA!$C$74,IF(A90&gt;DATA!$C$75,"")))</f>
        <v>54</v>
      </c>
      <c r="J90" s="96">
        <f>IF(A90&lt;DATA!$C$75,D90,IF(A90=DATA!$C$75,I90+J93,""))</f>
        <v>694</v>
      </c>
      <c r="K90" s="96" t="str">
        <f>IF(AND(A90&lt;=DATA!$C$75,DATA!$C$69=1),$B$126,IF(AND(A90&lt;=DATA!$C$75,DATA!$C$69=2),$B$127,IF(AND(A90&lt;=DATA!$C$75,DATA!$C$69=3),$B$128,"")))</f>
        <v>●●</v>
      </c>
      <c r="L90" s="96">
        <f>IF(A90&lt;=DATA!$C$75,'5'!B90,"")</f>
        <v>23.949999999999989</v>
      </c>
    </row>
    <row r="91" spans="1:12">
      <c r="F91" s="127" t="str">
        <f>IF('4'!$C$18=$A93,'4'!$O$15,IF('4'!$C$22=$A93,'4'!$O$19,""))</f>
        <v/>
      </c>
      <c r="G91" s="128"/>
      <c r="H91" s="128"/>
      <c r="I91" s="128"/>
      <c r="J91" s="128"/>
      <c r="K91" s="128"/>
      <c r="L91" s="129"/>
    </row>
    <row r="92" spans="1:12">
      <c r="F92" s="127" t="str">
        <f>IF(A93&lt;DATA!$C$75,'4'!$O$8,IF(A93=DATA!$C$75,'4'!$O$9,IF(A93&gt;DATA!$C$75,"")))</f>
        <v>(0x0.15DDP+1x0.25DDP)x463mm</v>
      </c>
      <c r="G92" s="128"/>
      <c r="H92" s="128"/>
      <c r="I92" s="128"/>
      <c r="J92" s="128"/>
      <c r="K92" s="128"/>
      <c r="L92" s="129"/>
    </row>
    <row r="93" spans="1:12">
      <c r="A93" s="90">
        <f t="shared" ref="A93" si="45">A96+1</f>
        <v>10</v>
      </c>
      <c r="B93" s="91">
        <f>'4'!$D$12</f>
        <v>23.949999999999989</v>
      </c>
      <c r="C93" s="90">
        <f>DATA!$C$73</f>
        <v>64</v>
      </c>
      <c r="D93" s="90">
        <f t="shared" ref="D93" si="46">C93*A93</f>
        <v>640</v>
      </c>
      <c r="F93" s="96">
        <f>IF(A93&lt;=DATA!$C$75,'5'!A93,"")</f>
        <v>10</v>
      </c>
      <c r="G93" s="96">
        <f>IF($A93&lt;=DATA!$C$75,'5'!B93,"")</f>
        <v>23.949999999999989</v>
      </c>
      <c r="H93" s="96" t="str">
        <f>IF(AND(A93&lt;=DATA!$C$75,DATA!$C$69=1),$B$126,IF(AND(A93&lt;=DATA!$C$75,DATA!$C$69=2),$B$127,IF(AND(A93&lt;=DATA!$C$75,DATA!$C$69=3),$B$128,"")))</f>
        <v>●●</v>
      </c>
      <c r="I93" s="96">
        <f>IF(A93&lt;DATA!$C$75,C93,IF(A93=DATA!$C$75,DATA!$C$74,IF(A93&gt;DATA!$C$75,"")))</f>
        <v>64</v>
      </c>
      <c r="J93" s="96">
        <f>IF(A93&lt;DATA!$C$75,D93,IF(A93=DATA!$C$75,I93+J96,""))</f>
        <v>640</v>
      </c>
      <c r="K93" s="96" t="str">
        <f>IF(AND(A93&lt;=DATA!$C$75,DATA!$C$69=1),$B$126,IF(AND(A93&lt;=DATA!$C$75,DATA!$C$69=2),$B$127,IF(AND(A93&lt;=DATA!$C$75,DATA!$C$69=3),$B$128,"")))</f>
        <v>●●</v>
      </c>
      <c r="L93" s="96">
        <f>IF(A93&lt;=DATA!$C$75,'5'!B93,"")</f>
        <v>23.949999999999989</v>
      </c>
    </row>
    <row r="94" spans="1:12">
      <c r="F94" s="127" t="str">
        <f>IF('4'!$C$18=$A96,'4'!$O$15,IF('4'!$C$22=$A96,'4'!$O$19,""))</f>
        <v/>
      </c>
      <c r="G94" s="128"/>
      <c r="H94" s="128"/>
      <c r="I94" s="128"/>
      <c r="J94" s="128"/>
      <c r="K94" s="128"/>
      <c r="L94" s="129"/>
    </row>
    <row r="95" spans="1:12">
      <c r="F95" s="127" t="str">
        <f>IF(A96&lt;DATA!$C$75,'4'!$O$8,IF(A96=DATA!$C$75,'4'!$O$9,IF(A96&gt;DATA!$C$75,"")))</f>
        <v>(0x0.15DDP+1x0.25DDP)x463mm</v>
      </c>
      <c r="G95" s="128"/>
      <c r="H95" s="128"/>
      <c r="I95" s="128"/>
      <c r="J95" s="128"/>
      <c r="K95" s="128"/>
      <c r="L95" s="129"/>
    </row>
    <row r="96" spans="1:12">
      <c r="A96" s="90">
        <f t="shared" ref="A96" si="47">A99+1</f>
        <v>9</v>
      </c>
      <c r="B96" s="91">
        <f>'4'!$D$12</f>
        <v>23.949999999999989</v>
      </c>
      <c r="C96" s="90">
        <f>DATA!$C$73</f>
        <v>64</v>
      </c>
      <c r="D96" s="90">
        <f t="shared" ref="D96" si="48">C96*A96</f>
        <v>576</v>
      </c>
      <c r="F96" s="96">
        <f>IF(A96&lt;=DATA!$C$75,'5'!A96,"")</f>
        <v>9</v>
      </c>
      <c r="G96" s="96">
        <f>IF($A96&lt;=DATA!$C$75,'5'!B96,"")</f>
        <v>23.949999999999989</v>
      </c>
      <c r="H96" s="96" t="str">
        <f>IF(AND(A96&lt;=DATA!$C$75,DATA!$C$69=1),$B$126,IF(AND(A96&lt;=DATA!$C$75,DATA!$C$69=2),$B$127,IF(AND(A96&lt;=DATA!$C$75,DATA!$C$69=3),$B$128,"")))</f>
        <v>●●</v>
      </c>
      <c r="I96" s="96">
        <f>IF(A96&lt;DATA!$C$75,C96,IF(A96=DATA!$C$75,DATA!$C$74,IF(A96&gt;DATA!$C$75,"")))</f>
        <v>64</v>
      </c>
      <c r="J96" s="96">
        <f>IF(A96&lt;DATA!$C$75,D96,IF(A96=DATA!$C$75,I96+J99,""))</f>
        <v>576</v>
      </c>
      <c r="K96" s="96" t="str">
        <f>IF(AND(A96&lt;=DATA!$C$75,DATA!$C$69=1),$B$126,IF(AND(A96&lt;=DATA!$C$75,DATA!$C$69=2),$B$127,IF(AND(A96&lt;=DATA!$C$75,DATA!$C$69=3),$B$128,"")))</f>
        <v>●●</v>
      </c>
      <c r="L96" s="96">
        <f>IF(A96&lt;=DATA!$C$75,'5'!B96,"")</f>
        <v>23.949999999999989</v>
      </c>
    </row>
    <row r="97" spans="1:12">
      <c r="F97" s="127" t="str">
        <f>IF('4'!$C$18=$A99,'4'!$O$15,IF('4'!$C$22=$A99,'4'!$O$19,""))</f>
        <v/>
      </c>
      <c r="G97" s="128"/>
      <c r="H97" s="128"/>
      <c r="I97" s="128"/>
      <c r="J97" s="128"/>
      <c r="K97" s="128"/>
      <c r="L97" s="129"/>
    </row>
    <row r="98" spans="1:12">
      <c r="F98" s="127" t="str">
        <f>IF(A99&lt;DATA!$C$75,'4'!$O$8,IF(A99=DATA!$C$75,'4'!$O$9,IF(A99&gt;DATA!$C$75,"")))</f>
        <v>(0x0.15DDP+1x0.25DDP)x463mm</v>
      </c>
      <c r="G98" s="128"/>
      <c r="H98" s="128"/>
      <c r="I98" s="128"/>
      <c r="J98" s="128"/>
      <c r="K98" s="128"/>
      <c r="L98" s="129"/>
    </row>
    <row r="99" spans="1:12">
      <c r="A99" s="90">
        <f t="shared" ref="A99" si="49">A102+1</f>
        <v>8</v>
      </c>
      <c r="B99" s="91">
        <f>'4'!$D$12</f>
        <v>23.949999999999989</v>
      </c>
      <c r="C99" s="90">
        <f>DATA!$C$73</f>
        <v>64</v>
      </c>
      <c r="D99" s="90">
        <f t="shared" ref="D99" si="50">C99*A99</f>
        <v>512</v>
      </c>
      <c r="F99" s="96">
        <f>IF(A99&lt;=DATA!$C$75,'5'!A99,"")</f>
        <v>8</v>
      </c>
      <c r="G99" s="96">
        <f>IF($A99&lt;=DATA!$C$75,'5'!B99,"")</f>
        <v>23.949999999999989</v>
      </c>
      <c r="H99" s="96" t="str">
        <f>IF(AND(A99&lt;=DATA!$C$75,DATA!$C$69=1),$B$126,IF(AND(A99&lt;=DATA!$C$75,DATA!$C$69=2),$B$127,IF(AND(A99&lt;=DATA!$C$75,DATA!$C$69=3),$B$128,"")))</f>
        <v>●●</v>
      </c>
      <c r="I99" s="96">
        <f>IF(A99&lt;DATA!$C$75,C99,IF(A99=DATA!$C$75,DATA!$C$74,IF(A99&gt;DATA!$C$75,"")))</f>
        <v>64</v>
      </c>
      <c r="J99" s="96">
        <f>IF(A99&lt;DATA!$C$75,D99,IF(A99=DATA!$C$75,I99+J102,""))</f>
        <v>512</v>
      </c>
      <c r="K99" s="96" t="str">
        <f>IF(AND(A99&lt;=DATA!$C$75,DATA!$C$69=1),$B$126,IF(AND(A99&lt;=DATA!$C$75,DATA!$C$69=2),$B$127,IF(AND(A99&lt;=DATA!$C$75,DATA!$C$69=3),$B$128,"")))</f>
        <v>●●</v>
      </c>
      <c r="L99" s="96">
        <f>IF(A99&lt;=DATA!$C$75,'5'!B99,"")</f>
        <v>23.949999999999989</v>
      </c>
    </row>
    <row r="100" spans="1:12">
      <c r="F100" s="127" t="str">
        <f>IF('4'!$C$18=$A102,'4'!$O$15,IF('4'!$C$22=$A102,'4'!$O$19,""))</f>
        <v/>
      </c>
      <c r="G100" s="128"/>
      <c r="H100" s="128"/>
      <c r="I100" s="128"/>
      <c r="J100" s="128"/>
      <c r="K100" s="128"/>
      <c r="L100" s="129"/>
    </row>
    <row r="101" spans="1:12">
      <c r="F101" s="127" t="str">
        <f>IF(A102&lt;DATA!$C$75,'4'!$O$8,IF(A102=DATA!$C$75,'4'!$O$9,IF(A102&gt;DATA!$C$75,"")))</f>
        <v>(0x0.15DDP+1x0.25DDP)x463mm</v>
      </c>
      <c r="G101" s="128"/>
      <c r="H101" s="128"/>
      <c r="I101" s="128"/>
      <c r="J101" s="128"/>
      <c r="K101" s="128"/>
      <c r="L101" s="129"/>
    </row>
    <row r="102" spans="1:12">
      <c r="A102" s="90">
        <f t="shared" ref="A102" si="51">A105+1</f>
        <v>7</v>
      </c>
      <c r="B102" s="91">
        <f>'4'!$D$12</f>
        <v>23.949999999999989</v>
      </c>
      <c r="C102" s="90">
        <f>DATA!$C$73</f>
        <v>64</v>
      </c>
      <c r="D102" s="90">
        <f t="shared" ref="D102" si="52">C102*A102</f>
        <v>448</v>
      </c>
      <c r="F102" s="96">
        <f>IF(A102&lt;=DATA!$C$75,'5'!A102,"")</f>
        <v>7</v>
      </c>
      <c r="G102" s="96">
        <f>IF($A102&lt;=DATA!$C$75,'5'!B102,"")</f>
        <v>23.949999999999989</v>
      </c>
      <c r="H102" s="96" t="str">
        <f>IF(AND(A102&lt;=DATA!$C$75,DATA!$C$69=1),$B$126,IF(AND(A102&lt;=DATA!$C$75,DATA!$C$69=2),$B$127,IF(AND(A102&lt;=DATA!$C$75,DATA!$C$69=3),$B$128,"")))</f>
        <v>●●</v>
      </c>
      <c r="I102" s="96">
        <f>IF(A102&lt;DATA!$C$75,C102,IF(A102=DATA!$C$75,DATA!$C$74,IF(A102&gt;DATA!$C$75,"")))</f>
        <v>64</v>
      </c>
      <c r="J102" s="96">
        <f>IF(A102&lt;DATA!$C$75,D102,IF(A102=DATA!$C$75,I102+J105,""))</f>
        <v>448</v>
      </c>
      <c r="K102" s="96" t="str">
        <f>IF(AND(A102&lt;=DATA!$C$75,DATA!$C$69=1),$B$126,IF(AND(A102&lt;=DATA!$C$75,DATA!$C$69=2),$B$127,IF(AND(A102&lt;=DATA!$C$75,DATA!$C$69=3),$B$128,"")))</f>
        <v>●●</v>
      </c>
      <c r="L102" s="96">
        <f>IF(A102&lt;=DATA!$C$75,'5'!B102,"")</f>
        <v>23.949999999999989</v>
      </c>
    </row>
    <row r="103" spans="1:12">
      <c r="F103" s="127" t="str">
        <f>IF('4'!$C$18=$A105,'4'!$O$15,IF('4'!$C$22=$A105,'4'!$O$19,""))</f>
        <v/>
      </c>
      <c r="G103" s="128"/>
      <c r="H103" s="128"/>
      <c r="I103" s="128"/>
      <c r="J103" s="128"/>
      <c r="K103" s="128"/>
      <c r="L103" s="129"/>
    </row>
    <row r="104" spans="1:12">
      <c r="F104" s="127" t="str">
        <f>IF(A105&lt;DATA!$C$75,'4'!$O$8,IF(A105=DATA!$C$75,'4'!$O$9,IF(A105&gt;DATA!$C$75,"")))</f>
        <v>(0x0.15DDP+1x0.25DDP)x463mm</v>
      </c>
      <c r="G104" s="128"/>
      <c r="H104" s="128"/>
      <c r="I104" s="128"/>
      <c r="J104" s="128"/>
      <c r="K104" s="128"/>
      <c r="L104" s="129"/>
    </row>
    <row r="105" spans="1:12">
      <c r="A105" s="90">
        <f t="shared" ref="A105" si="53">A108+1</f>
        <v>6</v>
      </c>
      <c r="B105" s="91">
        <f>'4'!$D$12</f>
        <v>23.949999999999989</v>
      </c>
      <c r="C105" s="90">
        <f>DATA!$C$73</f>
        <v>64</v>
      </c>
      <c r="D105" s="90">
        <f t="shared" ref="D105" si="54">C105*A105</f>
        <v>384</v>
      </c>
      <c r="F105" s="96">
        <f>IF(A105&lt;=DATA!$C$75,'5'!A105,"")</f>
        <v>6</v>
      </c>
      <c r="G105" s="96">
        <f>IF($A105&lt;=DATA!$C$75,'5'!B105,"")</f>
        <v>23.949999999999989</v>
      </c>
      <c r="H105" s="96" t="str">
        <f>IF(AND(A105&lt;=DATA!$C$75,DATA!$C$69=1),$B$126,IF(AND(A105&lt;=DATA!$C$75,DATA!$C$69=2),$B$127,IF(AND(A105&lt;=DATA!$C$75,DATA!$C$69=3),$B$128,"")))</f>
        <v>●●</v>
      </c>
      <c r="I105" s="96">
        <f>IF(A105&lt;DATA!$C$75,C105,IF(A105=DATA!$C$75,DATA!$C$74,IF(A105&gt;DATA!$C$75,"")))</f>
        <v>64</v>
      </c>
      <c r="J105" s="96">
        <f>IF(A105&lt;DATA!$C$75,D105,IF(A105=DATA!$C$75,I105+J108,""))</f>
        <v>384</v>
      </c>
      <c r="K105" s="96" t="str">
        <f>IF(AND(A105&lt;=DATA!$C$75,DATA!$C$69=1),$B$126,IF(AND(A105&lt;=DATA!$C$75,DATA!$C$69=2),$B$127,IF(AND(A105&lt;=DATA!$C$75,DATA!$C$69=3),$B$128,"")))</f>
        <v>●●</v>
      </c>
      <c r="L105" s="96">
        <f>IF(A105&lt;=DATA!$C$75,'5'!B105,"")</f>
        <v>23.949999999999989</v>
      </c>
    </row>
    <row r="106" spans="1:12">
      <c r="F106" s="127" t="str">
        <f>IF('4'!$C$18=$A108,'4'!$O$15,IF('4'!$C$22=$A108,'4'!$O$19,""))</f>
        <v>N/A CD - 4.5x0x463mmx0</v>
      </c>
      <c r="G106" s="128"/>
      <c r="H106" s="128"/>
      <c r="I106" s="128"/>
      <c r="J106" s="128"/>
      <c r="K106" s="128"/>
      <c r="L106" s="129"/>
    </row>
    <row r="107" spans="1:12">
      <c r="F107" s="127" t="str">
        <f>IF(A108&lt;DATA!$C$75,'4'!$O$8,IF(A108=DATA!$C$75,'4'!$O$9,IF(A108&gt;DATA!$C$75,"")))</f>
        <v>(0x0.15DDP+1x0.25DDP)x463mm</v>
      </c>
      <c r="G107" s="128"/>
      <c r="H107" s="128"/>
      <c r="I107" s="128"/>
      <c r="J107" s="128"/>
      <c r="K107" s="128"/>
      <c r="L107" s="129"/>
    </row>
    <row r="108" spans="1:12">
      <c r="A108" s="90">
        <f t="shared" ref="A108" si="55">A111+1</f>
        <v>5</v>
      </c>
      <c r="B108" s="91">
        <f>'4'!$D$12</f>
        <v>23.949999999999989</v>
      </c>
      <c r="C108" s="90">
        <f>DATA!$C$73</f>
        <v>64</v>
      </c>
      <c r="D108" s="90">
        <f t="shared" ref="D108" si="56">C108*A108</f>
        <v>320</v>
      </c>
      <c r="F108" s="96">
        <f>IF(A108&lt;=DATA!$C$75,'5'!A108,"")</f>
        <v>5</v>
      </c>
      <c r="G108" s="96">
        <f>IF($A108&lt;=DATA!$C$75,'5'!B108,"")</f>
        <v>23.949999999999989</v>
      </c>
      <c r="H108" s="96" t="str">
        <f>IF(AND(A108&lt;=DATA!$C$75,DATA!$C$69=1),$B$126,IF(AND(A108&lt;=DATA!$C$75,DATA!$C$69=2),$B$127,IF(AND(A108&lt;=DATA!$C$75,DATA!$C$69=3),$B$128,"")))</f>
        <v>●●</v>
      </c>
      <c r="I108" s="96">
        <f>IF(A108&lt;DATA!$C$75,C108,IF(A108=DATA!$C$75,DATA!$C$74,IF(A108&gt;DATA!$C$75,"")))</f>
        <v>64</v>
      </c>
      <c r="J108" s="96">
        <f>IF(A108&lt;DATA!$C$75,D108,IF(A108=DATA!$C$75,I108+J111,""))</f>
        <v>320</v>
      </c>
      <c r="K108" s="96" t="str">
        <f>IF(AND(A108&lt;=DATA!$C$75,DATA!$C$69=1),$B$126,IF(AND(A108&lt;=DATA!$C$75,DATA!$C$69=2),$B$127,IF(AND(A108&lt;=DATA!$C$75,DATA!$C$69=3),$B$128,"")))</f>
        <v>●●</v>
      </c>
      <c r="L108" s="96">
        <f>IF(A108&lt;=DATA!$C$75,'5'!B108,"")</f>
        <v>23.949999999999989</v>
      </c>
    </row>
    <row r="109" spans="1:12">
      <c r="F109" s="127" t="str">
        <f>IF('4'!$C$18=$A111,'4'!$O$15,IF('4'!$C$22=$A111,'4'!$O$19,""))</f>
        <v/>
      </c>
      <c r="G109" s="128"/>
      <c r="H109" s="128"/>
      <c r="I109" s="128"/>
      <c r="J109" s="128"/>
      <c r="K109" s="128"/>
      <c r="L109" s="129"/>
    </row>
    <row r="110" spans="1:12">
      <c r="F110" s="127" t="str">
        <f>IF(A111&lt;DATA!$C$75,'4'!$O$8,IF(A111=DATA!$C$75,'4'!$O$9,IF(A111&gt;DATA!$C$75,"")))</f>
        <v>(0x0.15DDP+1x0.25DDP)x463mm</v>
      </c>
      <c r="G110" s="128"/>
      <c r="H110" s="128"/>
      <c r="I110" s="128"/>
      <c r="J110" s="128"/>
      <c r="K110" s="128"/>
      <c r="L110" s="129"/>
    </row>
    <row r="111" spans="1:12">
      <c r="A111" s="90">
        <f t="shared" ref="A111" si="57">A114+1</f>
        <v>4</v>
      </c>
      <c r="B111" s="91">
        <f>'4'!$D$12</f>
        <v>23.949999999999989</v>
      </c>
      <c r="C111" s="90">
        <f>DATA!$C$73</f>
        <v>64</v>
      </c>
      <c r="D111" s="90">
        <f t="shared" ref="D111" si="58">C111*A111</f>
        <v>256</v>
      </c>
      <c r="F111" s="96">
        <f>IF(A111&lt;=DATA!$C$75,'5'!A111,"")</f>
        <v>4</v>
      </c>
      <c r="G111" s="96">
        <f>IF($A111&lt;=DATA!$C$75,'5'!B111,"")</f>
        <v>23.949999999999989</v>
      </c>
      <c r="H111" s="96" t="str">
        <f>IF(AND(A111&lt;=DATA!$C$75,DATA!$C$69=1),$B$126,IF(AND(A111&lt;=DATA!$C$75,DATA!$C$69=2),$B$127,IF(AND(A111&lt;=DATA!$C$75,DATA!$C$69=3),$B$128,"")))</f>
        <v>●●</v>
      </c>
      <c r="I111" s="96">
        <f>IF(A111&lt;DATA!$C$75,C111,IF(A111=DATA!$C$75,DATA!$C$74,IF(A111&gt;DATA!$C$75,"")))</f>
        <v>64</v>
      </c>
      <c r="J111" s="96">
        <f>IF(A111&lt;DATA!$C$75,D111,IF(A111=DATA!$C$75,I111+J114,""))</f>
        <v>256</v>
      </c>
      <c r="K111" s="96" t="str">
        <f>IF(AND(A111&lt;=DATA!$C$75,DATA!$C$69=1),$B$126,IF(AND(A111&lt;=DATA!$C$75,DATA!$C$69=2),$B$127,IF(AND(A111&lt;=DATA!$C$75,DATA!$C$69=3),$B$128,"")))</f>
        <v>●●</v>
      </c>
      <c r="L111" s="96">
        <f>IF(A111&lt;=DATA!$C$75,'5'!B111,"")</f>
        <v>23.949999999999989</v>
      </c>
    </row>
    <row r="112" spans="1:12">
      <c r="F112" s="127" t="str">
        <f>IF('4'!$C$18=$A114,'4'!$O$15,IF('4'!$C$22=$A114,'4'!$O$19,""))</f>
        <v/>
      </c>
      <c r="G112" s="128"/>
      <c r="H112" s="128"/>
      <c r="I112" s="128"/>
      <c r="J112" s="128"/>
      <c r="K112" s="128"/>
      <c r="L112" s="129"/>
    </row>
    <row r="113" spans="1:12">
      <c r="F113" s="127" t="str">
        <f>IF(A114&lt;DATA!$C$75,'4'!$O$8,IF(A114=DATA!$C$75,'4'!$O$9,IF(A114&gt;DATA!$C$75,"")))</f>
        <v>(0x0.15DDP+1x0.25DDP)x463mm</v>
      </c>
      <c r="G113" s="128"/>
      <c r="H113" s="128"/>
      <c r="I113" s="128"/>
      <c r="J113" s="128"/>
      <c r="K113" s="128"/>
      <c r="L113" s="129"/>
    </row>
    <row r="114" spans="1:12">
      <c r="A114" s="90">
        <f t="shared" ref="A114" si="59">A117+1</f>
        <v>3</v>
      </c>
      <c r="B114" s="91">
        <f>'4'!$D$12</f>
        <v>23.949999999999989</v>
      </c>
      <c r="C114" s="90">
        <f>DATA!$C$73</f>
        <v>64</v>
      </c>
      <c r="D114" s="90">
        <f t="shared" ref="D114" si="60">C114*A114</f>
        <v>192</v>
      </c>
      <c r="F114" s="96">
        <f>IF(A114&lt;=DATA!$C$75,'5'!A114,"")</f>
        <v>3</v>
      </c>
      <c r="G114" s="96">
        <f>IF($A114&lt;=DATA!$C$75,'5'!B114,"")</f>
        <v>23.949999999999989</v>
      </c>
      <c r="H114" s="96" t="str">
        <f>IF(AND(A114&lt;=DATA!$C$75,DATA!$C$69=1),$B$126,IF(AND(A114&lt;=DATA!$C$75,DATA!$C$69=2),$B$127,IF(AND(A114&lt;=DATA!$C$75,DATA!$C$69=3),$B$128,"")))</f>
        <v>●●</v>
      </c>
      <c r="I114" s="96">
        <f>IF(A114&lt;DATA!$C$75,C114,IF(A114=DATA!$C$75,DATA!$C$74,IF(A114&gt;DATA!$C$75,"")))</f>
        <v>64</v>
      </c>
      <c r="J114" s="96">
        <f>IF(A114&lt;DATA!$C$75,D114,IF(A114=DATA!$C$75,I114+J117,""))</f>
        <v>192</v>
      </c>
      <c r="K114" s="96" t="str">
        <f>IF(AND(A114&lt;=DATA!$C$75,DATA!$C$69=1),$B$126,IF(AND(A114&lt;=DATA!$C$75,DATA!$C$69=2),$B$127,IF(AND(A114&lt;=DATA!$C$75,DATA!$C$69=3),$B$128,"")))</f>
        <v>●●</v>
      </c>
      <c r="L114" s="96">
        <f>IF(A114&lt;=DATA!$C$75,'5'!B114,"")</f>
        <v>23.949999999999989</v>
      </c>
    </row>
    <row r="115" spans="1:12">
      <c r="F115" s="127" t="str">
        <f>IF('4'!$C$18=$A117,'4'!$O$15,IF('4'!$C$22=$A117,'4'!$O$19,""))</f>
        <v/>
      </c>
      <c r="G115" s="128"/>
      <c r="H115" s="128"/>
      <c r="I115" s="128"/>
      <c r="J115" s="128"/>
      <c r="K115" s="128"/>
      <c r="L115" s="129"/>
    </row>
    <row r="116" spans="1:12">
      <c r="F116" s="127" t="str">
        <f>IF(A117&lt;DATA!$C$75,'4'!$O$8,IF(A117=DATA!$C$75,'4'!$O$9,IF(A117&gt;DATA!$C$75,"")))</f>
        <v>(0x0.15DDP+1x0.25DDP)x463mm</v>
      </c>
      <c r="G116" s="128"/>
      <c r="H116" s="128"/>
      <c r="I116" s="128"/>
      <c r="J116" s="128"/>
      <c r="K116" s="128"/>
      <c r="L116" s="129"/>
    </row>
    <row r="117" spans="1:12">
      <c r="A117" s="90">
        <f>A120+1</f>
        <v>2</v>
      </c>
      <c r="B117" s="91">
        <f>'4'!$D$12</f>
        <v>23.949999999999989</v>
      </c>
      <c r="C117" s="90">
        <f>DATA!$C$73</f>
        <v>64</v>
      </c>
      <c r="D117" s="90">
        <f t="shared" ref="D117" si="61">C117*A117</f>
        <v>128</v>
      </c>
      <c r="F117" s="96">
        <f>IF(A117&lt;=DATA!$C$75,'5'!A117,"")</f>
        <v>2</v>
      </c>
      <c r="G117" s="96">
        <f>IF($A117&lt;=DATA!$C$75,'5'!B117,"")</f>
        <v>23.949999999999989</v>
      </c>
      <c r="H117" s="96" t="str">
        <f>IF(AND(A117&lt;=DATA!$C$75,DATA!$C$69=1),$B$126,IF(AND(A117&lt;=DATA!$C$75,DATA!$C$69=2),$B$127,IF(AND(A117&lt;=DATA!$C$75,DATA!$C$69=3),$B$128,"")))</f>
        <v>●●</v>
      </c>
      <c r="I117" s="96">
        <f>IF(A117&lt;DATA!$C$75,C117,IF(A117=DATA!$C$75,DATA!$C$74,IF(A117&gt;DATA!$C$75,"")))</f>
        <v>64</v>
      </c>
      <c r="J117" s="96">
        <f>IF(A117&lt;DATA!$C$75,D117,IF(A117=DATA!$C$75,I117+J120,""))</f>
        <v>128</v>
      </c>
      <c r="K117" s="96" t="str">
        <f>IF(AND(A117&lt;=DATA!$C$75,DATA!$C$69=1),$B$126,IF(AND(A117&lt;=DATA!$C$75,DATA!$C$69=2),$B$127,IF(AND(A117&lt;=DATA!$C$75,DATA!$C$69=3),$B$128,"")))</f>
        <v>●●</v>
      </c>
      <c r="L117" s="96">
        <f>IF(A117&lt;=DATA!$C$75,'5'!B117,"")</f>
        <v>23.949999999999989</v>
      </c>
    </row>
    <row r="118" spans="1:12">
      <c r="F118" s="127" t="str">
        <f>IF('4'!$C$18=$A120,'4'!$O$15,IF('4'!$C$22=$A120,'4'!$O$19,""))</f>
        <v/>
      </c>
      <c r="G118" s="128"/>
      <c r="H118" s="128"/>
      <c r="I118" s="128"/>
      <c r="J118" s="128"/>
      <c r="K118" s="128"/>
      <c r="L118" s="129"/>
    </row>
    <row r="119" spans="1:12">
      <c r="F119" s="127" t="str">
        <f>IF(A120&lt;DATA!$C$75,'4'!$O$8,IF(A120=DATA!$C$75,'4'!$O$9,IF(A120&gt;DATA!$C$75,"")))</f>
        <v>(0x0.15DDP+1x0.25DDP)x463mm</v>
      </c>
      <c r="G119" s="128"/>
      <c r="H119" s="128"/>
      <c r="I119" s="128"/>
      <c r="J119" s="128"/>
      <c r="K119" s="128"/>
      <c r="L119" s="129"/>
    </row>
    <row r="120" spans="1:12">
      <c r="A120" s="90">
        <v>1</v>
      </c>
      <c r="B120" s="91">
        <f>'4'!$D$12</f>
        <v>23.949999999999989</v>
      </c>
      <c r="C120" s="90">
        <f>DATA!$C$73</f>
        <v>64</v>
      </c>
      <c r="D120" s="90">
        <f>C120*A120</f>
        <v>64</v>
      </c>
      <c r="F120" s="96">
        <f>IF(A120&lt;=DATA!$C$75,'5'!A120,"")</f>
        <v>1</v>
      </c>
      <c r="G120" s="96">
        <f>IF($A120&lt;=DATA!$C$75,'5'!B120,"")</f>
        <v>23.949999999999989</v>
      </c>
      <c r="H120" s="96" t="str">
        <f>IF(AND(A124=TRUE,DATA!$C$69=1),$B$129,IF(AND(A124=TRUE,DATA!$C$69=2),$B$130,IF(AND(A124=TRUE,DATA!$C$69=3),$B$131,H117)))</f>
        <v>○○</v>
      </c>
      <c r="I120" s="96">
        <f>IF(A120&lt;DATA!$C$75,C120,IF(A120=DATA!$C$75,DATA!$C$74,IF(A120&gt;DATA!$C$75,"")))</f>
        <v>64</v>
      </c>
      <c r="J120" s="96">
        <f>IF(A120&lt;DATA!$C$75,D120,IF(A120=DATA!$C$75,I120+J123,""))</f>
        <v>64</v>
      </c>
      <c r="K120" s="96" t="str">
        <f>IF(AND(A123=TRUE,DATA!$C$69=1),$B$129,IF(AND(A123=TRUE,DATA!$C$69=2),$B$130,IF(AND(A123=TRUE,DATA!$C$69=3),$B$131,H117)))</f>
        <v>●●</v>
      </c>
      <c r="L120" s="96">
        <f>IF(A120&lt;=DATA!$C$75,'5'!B120,"")</f>
        <v>23.949999999999989</v>
      </c>
    </row>
    <row r="122" spans="1:12" ht="48">
      <c r="A122" s="97" t="s">
        <v>248</v>
      </c>
      <c r="B122" s="98"/>
      <c r="C122" s="99"/>
      <c r="F122" s="100" t="s">
        <v>253</v>
      </c>
      <c r="G122" s="100" t="s">
        <v>254</v>
      </c>
      <c r="H122" s="100" t="str">
        <f>B123</f>
        <v/>
      </c>
      <c r="I122" s="100" t="s">
        <v>255</v>
      </c>
      <c r="J122" s="100"/>
      <c r="K122" s="100" t="str">
        <f>B124</f>
        <v>START FROM BOTTOM</v>
      </c>
      <c r="L122" s="100" t="s">
        <v>296</v>
      </c>
    </row>
    <row r="123" spans="1:12">
      <c r="A123" s="93" t="b">
        <f>ISEVEN(DATA!C75)</f>
        <v>0</v>
      </c>
      <c r="B123" s="101" t="str">
        <f>IF(A123=TRUE, "START FROM TOP","")</f>
        <v/>
      </c>
      <c r="C123" s="94"/>
      <c r="D123" s="95"/>
    </row>
    <row r="124" spans="1:12">
      <c r="A124" s="93" t="b">
        <f>ISODD(DATA!C75)</f>
        <v>1</v>
      </c>
      <c r="B124" s="101" t="str">
        <f>IF(A124=TRUE, "START FROM BOTTOM","")</f>
        <v>START FROM BOTTOM</v>
      </c>
      <c r="C124" s="94"/>
      <c r="D124" s="95"/>
    </row>
    <row r="126" spans="1:12">
      <c r="A126" s="57">
        <v>1</v>
      </c>
      <c r="B126" s="110" t="s">
        <v>357</v>
      </c>
    </row>
    <row r="127" spans="1:12">
      <c r="A127" s="57">
        <v>2</v>
      </c>
      <c r="B127" s="110" t="s">
        <v>358</v>
      </c>
    </row>
    <row r="128" spans="1:12">
      <c r="A128" s="57">
        <v>3</v>
      </c>
      <c r="B128" s="110" t="s">
        <v>359</v>
      </c>
    </row>
    <row r="129" spans="1:2">
      <c r="A129" s="57">
        <v>1</v>
      </c>
      <c r="B129" s="102" t="s">
        <v>360</v>
      </c>
    </row>
    <row r="130" spans="1:2">
      <c r="A130" s="57">
        <v>2</v>
      </c>
      <c r="B130" s="102" t="s">
        <v>361</v>
      </c>
    </row>
    <row r="131" spans="1:2">
      <c r="A131" s="57">
        <v>3</v>
      </c>
      <c r="B131" s="102" t="s">
        <v>362</v>
      </c>
    </row>
    <row r="133" spans="1:2">
      <c r="A133" s="57" t="s">
        <v>302</v>
      </c>
      <c r="B133" s="103">
        <f>DATA!C84</f>
        <v>0.15</v>
      </c>
    </row>
    <row r="134" spans="1:2">
      <c r="A134" s="57" t="s">
        <v>303</v>
      </c>
      <c r="B134" s="103">
        <f>DATA!C80</f>
        <v>0.25</v>
      </c>
    </row>
    <row r="135" spans="1:2">
      <c r="A135" s="57" t="s">
        <v>301</v>
      </c>
      <c r="B135" s="103">
        <f>DATA!C85</f>
        <v>1.425</v>
      </c>
    </row>
    <row r="137" spans="1:2">
      <c r="A137" s="57" t="s">
        <v>341</v>
      </c>
      <c r="B137" s="104">
        <f>(DATA!C76-DATA!C77)/DATA!C90</f>
        <v>16.5</v>
      </c>
    </row>
    <row r="138" spans="1:2">
      <c r="A138" s="105" t="s">
        <v>344</v>
      </c>
      <c r="B138" s="104">
        <f>DATA!$C$76</f>
        <v>694</v>
      </c>
    </row>
    <row r="139" spans="1:2">
      <c r="A139" s="105" t="s">
        <v>343</v>
      </c>
      <c r="B139" s="104">
        <f>B138-$B$137</f>
        <v>677.5</v>
      </c>
    </row>
    <row r="140" spans="1:2">
      <c r="A140" s="105" t="s">
        <v>345</v>
      </c>
      <c r="B140" s="104">
        <f t="shared" ref="B140:B142" si="62">B139-$B$137</f>
        <v>661</v>
      </c>
    </row>
    <row r="141" spans="1:2">
      <c r="A141" s="105" t="s">
        <v>346</v>
      </c>
      <c r="B141" s="104">
        <f t="shared" si="62"/>
        <v>644.5</v>
      </c>
    </row>
    <row r="142" spans="1:2">
      <c r="A142" s="105" t="s">
        <v>347</v>
      </c>
      <c r="B142" s="104">
        <f t="shared" si="62"/>
        <v>628</v>
      </c>
    </row>
  </sheetData>
  <mergeCells count="80">
    <mergeCell ref="F1:L1"/>
    <mergeCell ref="F2:L2"/>
    <mergeCell ref="F119:L119"/>
    <mergeCell ref="F118:L118"/>
    <mergeCell ref="F116:L116"/>
    <mergeCell ref="F115:L115"/>
    <mergeCell ref="F4:L4"/>
    <mergeCell ref="F5:L5"/>
    <mergeCell ref="F7:L7"/>
    <mergeCell ref="F8:L8"/>
    <mergeCell ref="F10:L10"/>
    <mergeCell ref="F11:L11"/>
    <mergeCell ref="F29:L29"/>
    <mergeCell ref="F13:L13"/>
    <mergeCell ref="F14:L14"/>
    <mergeCell ref="F16:L16"/>
    <mergeCell ref="F17:L17"/>
    <mergeCell ref="F19:L19"/>
    <mergeCell ref="F20:L20"/>
    <mergeCell ref="F22:L22"/>
    <mergeCell ref="F23:L23"/>
    <mergeCell ref="F25:L25"/>
    <mergeCell ref="F26:L26"/>
    <mergeCell ref="F28:L28"/>
    <mergeCell ref="F47:L47"/>
    <mergeCell ref="F31:L31"/>
    <mergeCell ref="F32:L32"/>
    <mergeCell ref="F34:L34"/>
    <mergeCell ref="F35:L35"/>
    <mergeCell ref="F37:L37"/>
    <mergeCell ref="F38:L38"/>
    <mergeCell ref="F40:L40"/>
    <mergeCell ref="F41:L41"/>
    <mergeCell ref="F43:L43"/>
    <mergeCell ref="F44:L44"/>
    <mergeCell ref="F46:L46"/>
    <mergeCell ref="F65:L65"/>
    <mergeCell ref="F49:L49"/>
    <mergeCell ref="F50:L50"/>
    <mergeCell ref="F52:L52"/>
    <mergeCell ref="F53:L53"/>
    <mergeCell ref="F55:L55"/>
    <mergeCell ref="F56:L56"/>
    <mergeCell ref="F58:L58"/>
    <mergeCell ref="F59:L59"/>
    <mergeCell ref="F61:L61"/>
    <mergeCell ref="F62:L62"/>
    <mergeCell ref="F64:L64"/>
    <mergeCell ref="F83:L83"/>
    <mergeCell ref="F67:L67"/>
    <mergeCell ref="F68:L68"/>
    <mergeCell ref="F70:L70"/>
    <mergeCell ref="F71:L71"/>
    <mergeCell ref="F73:L73"/>
    <mergeCell ref="F74:L74"/>
    <mergeCell ref="F76:L76"/>
    <mergeCell ref="F77:L77"/>
    <mergeCell ref="F79:L79"/>
    <mergeCell ref="F80:L80"/>
    <mergeCell ref="F82:L82"/>
    <mergeCell ref="F101:L101"/>
    <mergeCell ref="F85:L85"/>
    <mergeCell ref="F86:L86"/>
    <mergeCell ref="F88:L88"/>
    <mergeCell ref="F89:L89"/>
    <mergeCell ref="F91:L91"/>
    <mergeCell ref="F92:L92"/>
    <mergeCell ref="F94:L94"/>
    <mergeCell ref="F95:L95"/>
    <mergeCell ref="F97:L97"/>
    <mergeCell ref="F98:L98"/>
    <mergeCell ref="F100:L100"/>
    <mergeCell ref="F112:L112"/>
    <mergeCell ref="F113:L113"/>
    <mergeCell ref="F103:L103"/>
    <mergeCell ref="F104:L104"/>
    <mergeCell ref="F106:L106"/>
    <mergeCell ref="F107:L107"/>
    <mergeCell ref="F109:L109"/>
    <mergeCell ref="F110:L11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9EE4-C2FB-4E60-899A-935F284ADD76}">
  <dimension ref="A1:H21"/>
  <sheetViews>
    <sheetView workbookViewId="0">
      <selection activeCell="D3" sqref="D3:D6"/>
    </sheetView>
  </sheetViews>
  <sheetFormatPr baseColWidth="10" defaultColWidth="8.83203125" defaultRowHeight="15"/>
  <cols>
    <col min="1" max="1" width="5.6640625" bestFit="1" customWidth="1"/>
    <col min="2" max="7" width="16.33203125" customWidth="1"/>
    <col min="8" max="8" width="16.33203125" style="50" customWidth="1"/>
  </cols>
  <sheetData>
    <row r="1" spans="1:8" ht="28">
      <c r="A1" s="73"/>
      <c r="B1" s="71"/>
      <c r="C1" s="71"/>
      <c r="D1" s="71"/>
      <c r="E1" s="71"/>
      <c r="F1" s="74" t="s">
        <v>183</v>
      </c>
      <c r="G1" s="74" t="s">
        <v>184</v>
      </c>
      <c r="H1" s="74" t="s">
        <v>185</v>
      </c>
    </row>
    <row r="2" spans="1:8" ht="42">
      <c r="A2" s="44" t="s">
        <v>186</v>
      </c>
      <c r="B2" s="44" t="s">
        <v>187</v>
      </c>
      <c r="C2" s="44" t="s">
        <v>188</v>
      </c>
      <c r="D2" s="44" t="s">
        <v>189</v>
      </c>
      <c r="E2" s="44" t="s">
        <v>190</v>
      </c>
      <c r="F2" s="44" t="s">
        <v>191</v>
      </c>
      <c r="G2" s="44" t="s">
        <v>192</v>
      </c>
      <c r="H2" s="44" t="s">
        <v>193</v>
      </c>
    </row>
    <row r="3" spans="1:8">
      <c r="A3" s="45" t="s">
        <v>194</v>
      </c>
      <c r="B3" s="45">
        <f>DATA!C12</f>
        <v>160</v>
      </c>
      <c r="C3" s="46">
        <f>D3*0.96</f>
        <v>363.93600000000004</v>
      </c>
      <c r="D3" s="45">
        <f>VLOOKUP("Step 1", Design!1:200, 6, 0)</f>
        <v>379.1</v>
      </c>
      <c r="E3" s="47">
        <f>$F$9</f>
        <v>483</v>
      </c>
      <c r="F3" s="45">
        <f>E3+B3</f>
        <v>643</v>
      </c>
      <c r="G3" s="45">
        <f>E3+B3</f>
        <v>643</v>
      </c>
      <c r="H3" s="65">
        <f>$F$10*2</f>
        <v>640</v>
      </c>
    </row>
    <row r="4" spans="1:8">
      <c r="A4" s="45" t="s">
        <v>195</v>
      </c>
      <c r="B4" s="45">
        <f>DATA!C14</f>
        <v>150</v>
      </c>
      <c r="C4" s="46">
        <f t="shared" ref="C4:C7" si="0">D4*0.96</f>
        <v>189.40800000000002</v>
      </c>
      <c r="D4" s="45">
        <f>VLOOKUP("Step 2", Design!2:201, 6, 0)</f>
        <v>197.3</v>
      </c>
      <c r="E4" s="45">
        <f>$F$9</f>
        <v>483</v>
      </c>
      <c r="F4" s="45">
        <f t="shared" ref="F4:F6" si="1">E4+B4</f>
        <v>633</v>
      </c>
      <c r="G4" s="45">
        <f t="shared" ref="G4:G7" si="2">E4+B4</f>
        <v>633</v>
      </c>
      <c r="H4" s="65">
        <f>$F$10*2</f>
        <v>640</v>
      </c>
    </row>
    <row r="5" spans="1:8">
      <c r="A5" s="45" t="s">
        <v>196</v>
      </c>
      <c r="B5" s="45">
        <f>DATA!C16</f>
        <v>110</v>
      </c>
      <c r="C5" s="46">
        <f t="shared" si="0"/>
        <v>143.51999999999998</v>
      </c>
      <c r="D5" s="45">
        <f>VLOOKUP("Step 3", Design!3:202, 6, 0)</f>
        <v>149.5</v>
      </c>
      <c r="E5" s="45">
        <f>$F$9</f>
        <v>483</v>
      </c>
      <c r="F5" s="45">
        <f t="shared" si="1"/>
        <v>593</v>
      </c>
      <c r="G5" s="45">
        <f t="shared" si="2"/>
        <v>593</v>
      </c>
      <c r="H5" s="65">
        <f>$F$10*2</f>
        <v>640</v>
      </c>
    </row>
    <row r="6" spans="1:8">
      <c r="A6" s="45" t="s">
        <v>197</v>
      </c>
      <c r="B6" s="45">
        <f>DATA!C18</f>
        <v>90</v>
      </c>
      <c r="C6" s="46">
        <f t="shared" si="0"/>
        <v>31.392000000000003</v>
      </c>
      <c r="D6" s="45">
        <f>VLOOKUP("Step 4", Design!4:203, 6, 0)</f>
        <v>32.700000000000003</v>
      </c>
      <c r="E6" s="47">
        <f>$F$9</f>
        <v>483</v>
      </c>
      <c r="F6" s="45">
        <f t="shared" si="1"/>
        <v>573</v>
      </c>
      <c r="G6" s="45">
        <f t="shared" si="2"/>
        <v>573</v>
      </c>
      <c r="H6" s="65">
        <f>$F$10*2</f>
        <v>640</v>
      </c>
    </row>
    <row r="7" spans="1:8">
      <c r="A7" s="45" t="s">
        <v>198</v>
      </c>
      <c r="B7" s="45">
        <f>DATA!C20</f>
        <v>0</v>
      </c>
      <c r="C7" s="46">
        <f t="shared" si="0"/>
        <v>0</v>
      </c>
      <c r="D7" s="45">
        <f>VLOOKUP("Step 5", Design!5:204, 6, 0)</f>
        <v>0</v>
      </c>
      <c r="E7" s="45">
        <f>F7-B7</f>
        <v>573</v>
      </c>
      <c r="F7" s="45">
        <f>F6</f>
        <v>573</v>
      </c>
      <c r="G7" s="45">
        <f t="shared" si="2"/>
        <v>573</v>
      </c>
      <c r="H7" s="65">
        <f>$F$10*2</f>
        <v>640</v>
      </c>
    </row>
    <row r="8" spans="1:8">
      <c r="A8" s="73"/>
      <c r="B8" s="73"/>
      <c r="C8" s="75"/>
      <c r="D8" s="73"/>
      <c r="E8" s="73"/>
      <c r="F8" s="73"/>
      <c r="G8" s="73"/>
      <c r="H8" s="72"/>
    </row>
    <row r="9" spans="1:8">
      <c r="A9" s="45" t="s">
        <v>186</v>
      </c>
      <c r="B9" s="45" t="s">
        <v>199</v>
      </c>
      <c r="C9" s="71"/>
      <c r="D9" s="131" t="s">
        <v>200</v>
      </c>
      <c r="E9" s="131"/>
      <c r="F9" s="76">
        <f>DATA!C10</f>
        <v>483</v>
      </c>
      <c r="G9" s="71"/>
      <c r="H9" s="72"/>
    </row>
    <row r="10" spans="1:8">
      <c r="A10" s="45" t="s">
        <v>201</v>
      </c>
      <c r="B10" s="48">
        <f>DATA!C13</f>
        <v>102</v>
      </c>
      <c r="C10" s="71"/>
      <c r="D10" s="131" t="s">
        <v>202</v>
      </c>
      <c r="E10" s="131"/>
      <c r="F10" s="76">
        <f>DATA!C9</f>
        <v>320</v>
      </c>
      <c r="G10" s="71"/>
      <c r="H10" s="72"/>
    </row>
    <row r="11" spans="1:8">
      <c r="A11" s="45" t="s">
        <v>203</v>
      </c>
      <c r="B11" s="48">
        <f>DATA!C15/2</f>
        <v>28</v>
      </c>
      <c r="C11" s="71"/>
      <c r="D11" s="131" t="s">
        <v>204</v>
      </c>
      <c r="E11" s="131"/>
      <c r="F11" s="76">
        <f>F10/2</f>
        <v>160</v>
      </c>
      <c r="G11" s="71"/>
      <c r="H11" s="72"/>
    </row>
    <row r="12" spans="1:8">
      <c r="A12" s="45" t="s">
        <v>205</v>
      </c>
      <c r="B12" s="48">
        <f>DATA!C17/2</f>
        <v>30</v>
      </c>
      <c r="C12" s="71"/>
      <c r="D12" s="131" t="s">
        <v>206</v>
      </c>
      <c r="E12" s="131"/>
      <c r="F12" s="76">
        <f>F6/2</f>
        <v>286.5</v>
      </c>
      <c r="G12" s="71"/>
      <c r="H12" s="72"/>
    </row>
    <row r="13" spans="1:8">
      <c r="A13" s="45" t="s">
        <v>207</v>
      </c>
      <c r="B13" s="48">
        <f>DATA!C19/2</f>
        <v>0.05</v>
      </c>
      <c r="C13" s="71"/>
      <c r="D13" s="71"/>
      <c r="E13" s="71"/>
      <c r="F13" s="71"/>
      <c r="G13" s="71"/>
      <c r="H13" s="72"/>
    </row>
    <row r="14" spans="1:8">
      <c r="A14" s="45" t="s">
        <v>208</v>
      </c>
      <c r="B14" s="48">
        <f>DATA!C21</f>
        <v>8</v>
      </c>
      <c r="C14" s="71"/>
      <c r="D14" s="72"/>
      <c r="E14" s="77"/>
      <c r="F14" s="77"/>
      <c r="G14" s="77"/>
      <c r="H14" s="77"/>
    </row>
    <row r="15" spans="1:8">
      <c r="A15" s="45" t="s">
        <v>209</v>
      </c>
      <c r="B15" s="48">
        <f>DATA!C22</f>
        <v>6</v>
      </c>
      <c r="C15" s="71"/>
      <c r="D15" s="72"/>
      <c r="E15" s="78"/>
      <c r="F15" s="78"/>
      <c r="G15" s="78"/>
      <c r="H15" s="78"/>
    </row>
    <row r="16" spans="1:8">
      <c r="A16" s="73"/>
      <c r="B16" s="71"/>
      <c r="C16" s="71"/>
      <c r="D16" s="71"/>
      <c r="E16" s="71"/>
      <c r="F16" s="71"/>
      <c r="G16" s="71"/>
      <c r="H16" s="72"/>
    </row>
    <row r="17" spans="1:8">
      <c r="A17" s="130" t="str">
        <f>DATA!B86&amp;"="&amp;DATA!C86*0.95</f>
        <v>GUARANTEED NLL=451.25</v>
      </c>
      <c r="B17" s="130"/>
      <c r="C17" s="130"/>
      <c r="D17" s="130"/>
      <c r="E17" s="130"/>
      <c r="F17" s="130"/>
      <c r="G17" s="130"/>
      <c r="H17" s="130"/>
    </row>
    <row r="18" spans="1:8">
      <c r="A18" s="130" t="str">
        <f>DATA!B87&amp;"="&amp;DATA!C87</f>
        <v>FLUX DENSITY=1.43</v>
      </c>
      <c r="B18" s="130"/>
      <c r="C18" s="130"/>
      <c r="D18" s="130"/>
      <c r="E18" s="130"/>
      <c r="F18" s="130"/>
      <c r="G18" s="130"/>
      <c r="H18" s="130"/>
    </row>
    <row r="19" spans="1:8">
      <c r="A19" s="130" t="str">
        <f>"NUMMBER OF LV TURNS="&amp;DATA!C66</f>
        <v>NUMMBER OF LV TURNS=24</v>
      </c>
      <c r="B19" s="130"/>
      <c r="C19" s="130"/>
      <c r="D19" s="130"/>
      <c r="E19" s="130"/>
      <c r="F19" s="130"/>
      <c r="G19" s="130"/>
      <c r="H19" s="130"/>
    </row>
    <row r="20" spans="1:8">
      <c r="A20" s="130" t="str">
        <f>" LV SIDE PHASE VOLTAGE = "&amp;ROUND(DATA!C7/1.73205080757,1) &amp; " V"</f>
        <v xml:space="preserve"> LV SIDE PHASE VOLTAGE = 239.6 V</v>
      </c>
      <c r="B20" s="130"/>
      <c r="C20" s="130"/>
      <c r="D20" s="130"/>
      <c r="E20" s="130"/>
      <c r="F20" s="130"/>
      <c r="G20" s="130"/>
      <c r="H20" s="130"/>
    </row>
    <row r="21" spans="1:8">
      <c r="A21" s="73"/>
      <c r="B21" s="71"/>
      <c r="C21" s="71"/>
      <c r="D21" s="71"/>
      <c r="E21" s="71"/>
      <c r="F21" s="71"/>
      <c r="G21" s="71"/>
      <c r="H21" s="72"/>
    </row>
  </sheetData>
  <mergeCells count="8">
    <mergeCell ref="A20:H20"/>
    <mergeCell ref="D9:E9"/>
    <mergeCell ref="D10:E10"/>
    <mergeCell ref="D11:E11"/>
    <mergeCell ref="D12:E12"/>
    <mergeCell ref="A17:H17"/>
    <mergeCell ref="A18:H18"/>
    <mergeCell ref="A19:H19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48A5-6F93-4F3E-BFC2-B3E103BAF3B2}">
  <dimension ref="A1:H20"/>
  <sheetViews>
    <sheetView workbookViewId="0">
      <selection activeCell="I11" sqref="I11"/>
    </sheetView>
  </sheetViews>
  <sheetFormatPr baseColWidth="10" defaultColWidth="8.83203125" defaultRowHeight="15"/>
  <cols>
    <col min="1" max="1" width="5.6640625" bestFit="1" customWidth="1"/>
    <col min="2" max="7" width="16.33203125" customWidth="1"/>
    <col min="8" max="8" width="16.33203125" style="50" customWidth="1"/>
  </cols>
  <sheetData>
    <row r="1" spans="1:8" ht="28">
      <c r="A1" s="73"/>
      <c r="B1" s="71"/>
      <c r="C1" s="71"/>
      <c r="D1" s="71"/>
      <c r="E1" s="71"/>
      <c r="F1" s="74" t="s">
        <v>183</v>
      </c>
      <c r="G1" s="74" t="s">
        <v>184</v>
      </c>
      <c r="H1" s="74" t="s">
        <v>185</v>
      </c>
    </row>
    <row r="2" spans="1:8" ht="42">
      <c r="A2" s="44" t="s">
        <v>186</v>
      </c>
      <c r="B2" s="44" t="s">
        <v>187</v>
      </c>
      <c r="C2" s="44" t="s">
        <v>188</v>
      </c>
      <c r="D2" s="44" t="s">
        <v>189</v>
      </c>
      <c r="E2" s="44" t="s">
        <v>190</v>
      </c>
      <c r="F2" s="44" t="s">
        <v>191</v>
      </c>
      <c r="G2" s="44" t="s">
        <v>192</v>
      </c>
      <c r="H2" s="44" t="s">
        <v>193</v>
      </c>
    </row>
    <row r="3" spans="1:8">
      <c r="A3" s="45" t="s">
        <v>194</v>
      </c>
      <c r="B3" s="45">
        <f>DATA!C12</f>
        <v>160</v>
      </c>
      <c r="C3" s="46">
        <f>D3*0.96</f>
        <v>363.93600000000004</v>
      </c>
      <c r="D3" s="45">
        <f>VLOOKUP("Step 1", Design!1:200, 6, 0)</f>
        <v>379.1</v>
      </c>
      <c r="E3" s="47">
        <f>$F$8</f>
        <v>483</v>
      </c>
      <c r="F3" s="45">
        <f>E3+B3</f>
        <v>643</v>
      </c>
      <c r="G3" s="45">
        <f>E3+B3</f>
        <v>643</v>
      </c>
      <c r="H3" s="65">
        <f>$F$9*2</f>
        <v>640</v>
      </c>
    </row>
    <row r="4" spans="1:8">
      <c r="A4" s="45" t="s">
        <v>195</v>
      </c>
      <c r="B4" s="45">
        <f>DATA!C14</f>
        <v>150</v>
      </c>
      <c r="C4" s="46">
        <f t="shared" ref="C4:C6" si="0">D4*0.96</f>
        <v>189.40800000000002</v>
      </c>
      <c r="D4" s="45">
        <f>VLOOKUP("Step 2", Design!2:201, 6, 0)</f>
        <v>197.3</v>
      </c>
      <c r="E4" s="45">
        <f>$F$8</f>
        <v>483</v>
      </c>
      <c r="F4" s="45">
        <f t="shared" ref="F4:F5" si="1">E4+B4</f>
        <v>633</v>
      </c>
      <c r="G4" s="45">
        <f t="shared" ref="G4:G6" si="2">E4+B4</f>
        <v>633</v>
      </c>
      <c r="H4" s="65">
        <f>$F$9*2</f>
        <v>640</v>
      </c>
    </row>
    <row r="5" spans="1:8">
      <c r="A5" s="45" t="s">
        <v>196</v>
      </c>
      <c r="B5" s="45">
        <f>DATA!C16</f>
        <v>110</v>
      </c>
      <c r="C5" s="46">
        <f t="shared" si="0"/>
        <v>143.51999999999998</v>
      </c>
      <c r="D5" s="45">
        <f>VLOOKUP("Step 3", Design!3:202, 6, 0)</f>
        <v>149.5</v>
      </c>
      <c r="E5" s="45">
        <f>$F$8</f>
        <v>483</v>
      </c>
      <c r="F5" s="45">
        <f t="shared" si="1"/>
        <v>593</v>
      </c>
      <c r="G5" s="45">
        <f t="shared" si="2"/>
        <v>593</v>
      </c>
      <c r="H5" s="65">
        <f>$F$9*2</f>
        <v>640</v>
      </c>
    </row>
    <row r="6" spans="1:8">
      <c r="A6" s="45" t="s">
        <v>197</v>
      </c>
      <c r="B6" s="45">
        <f>DATA!C20</f>
        <v>0</v>
      </c>
      <c r="C6" s="46">
        <f t="shared" si="0"/>
        <v>31.392000000000003</v>
      </c>
      <c r="D6" s="45">
        <f>VLOOKUP("Step 4", Design!4:203, 6, 0)</f>
        <v>32.700000000000003</v>
      </c>
      <c r="E6" s="47">
        <f>F6-B6</f>
        <v>593</v>
      </c>
      <c r="F6" s="45">
        <f>F5</f>
        <v>593</v>
      </c>
      <c r="G6" s="45">
        <f t="shared" si="2"/>
        <v>593</v>
      </c>
      <c r="H6" s="65">
        <f>$F$9*2</f>
        <v>640</v>
      </c>
    </row>
    <row r="7" spans="1:8">
      <c r="A7" s="73"/>
      <c r="B7" s="73"/>
      <c r="C7" s="75"/>
      <c r="D7" s="73"/>
      <c r="E7" s="73"/>
      <c r="F7" s="73"/>
      <c r="G7" s="73"/>
      <c r="H7" s="72"/>
    </row>
    <row r="8" spans="1:8">
      <c r="A8" s="45" t="s">
        <v>186</v>
      </c>
      <c r="B8" s="45" t="s">
        <v>199</v>
      </c>
      <c r="C8" s="71"/>
      <c r="D8" s="131" t="s">
        <v>200</v>
      </c>
      <c r="E8" s="131"/>
      <c r="F8" s="76">
        <f>DATA!C10</f>
        <v>483</v>
      </c>
      <c r="G8" s="71"/>
      <c r="H8" s="72"/>
    </row>
    <row r="9" spans="1:8">
      <c r="A9" s="45" t="s">
        <v>201</v>
      </c>
      <c r="B9" s="48">
        <f>DATA!C13</f>
        <v>102</v>
      </c>
      <c r="C9" s="71"/>
      <c r="D9" s="131" t="s">
        <v>202</v>
      </c>
      <c r="E9" s="131"/>
      <c r="F9" s="76">
        <f>DATA!C9</f>
        <v>320</v>
      </c>
      <c r="G9" s="71"/>
      <c r="H9" s="72"/>
    </row>
    <row r="10" spans="1:8">
      <c r="A10" s="45" t="s">
        <v>203</v>
      </c>
      <c r="B10" s="48">
        <f>DATA!C15/2</f>
        <v>28</v>
      </c>
      <c r="C10" s="71"/>
      <c r="D10" s="131" t="s">
        <v>204</v>
      </c>
      <c r="E10" s="131"/>
      <c r="F10" s="76">
        <f>F9/2</f>
        <v>160</v>
      </c>
      <c r="G10" s="71"/>
      <c r="H10" s="72"/>
    </row>
    <row r="11" spans="1:8">
      <c r="A11" s="45" t="s">
        <v>205</v>
      </c>
      <c r="B11" s="48">
        <f>DATA!C17/2</f>
        <v>30</v>
      </c>
      <c r="C11" s="71"/>
      <c r="D11" s="131" t="s">
        <v>206</v>
      </c>
      <c r="E11" s="131"/>
      <c r="F11" s="76">
        <f>F6/2</f>
        <v>296.5</v>
      </c>
      <c r="G11" s="71"/>
      <c r="H11" s="72"/>
    </row>
    <row r="12" spans="1:8">
      <c r="A12" s="45" t="s">
        <v>207</v>
      </c>
      <c r="B12" s="48">
        <f>DATA!C21</f>
        <v>8</v>
      </c>
      <c r="C12" s="71"/>
      <c r="D12" s="71"/>
      <c r="E12" s="71"/>
      <c r="F12" s="71"/>
      <c r="G12" s="71"/>
      <c r="H12" s="72"/>
    </row>
    <row r="13" spans="1:8">
      <c r="A13" s="45" t="s">
        <v>208</v>
      </c>
      <c r="B13" s="48">
        <f>DATA!C22</f>
        <v>6</v>
      </c>
      <c r="C13" s="71"/>
      <c r="D13" s="72"/>
      <c r="E13" s="77"/>
      <c r="F13" s="77"/>
      <c r="G13" s="77"/>
      <c r="H13" s="77"/>
    </row>
    <row r="14" spans="1:8">
      <c r="A14" s="45"/>
      <c r="B14" s="48"/>
      <c r="C14" s="71"/>
      <c r="D14" s="72"/>
      <c r="E14" s="78"/>
      <c r="F14" s="78"/>
      <c r="G14" s="78"/>
      <c r="H14" s="78"/>
    </row>
    <row r="15" spans="1:8">
      <c r="A15" s="73"/>
      <c r="B15" s="71"/>
      <c r="C15" s="71"/>
      <c r="D15" s="71"/>
      <c r="E15" s="71"/>
      <c r="F15" s="71"/>
      <c r="G15" s="71"/>
      <c r="H15" s="72"/>
    </row>
    <row r="16" spans="1:8">
      <c r="A16" s="130" t="str">
        <f>DATA!B86&amp;"="&amp;DATA!C86*0.95</f>
        <v>GUARANTEED NLL=451.25</v>
      </c>
      <c r="B16" s="130"/>
      <c r="C16" s="130"/>
      <c r="D16" s="130"/>
      <c r="E16" s="130"/>
      <c r="F16" s="130"/>
      <c r="G16" s="130"/>
      <c r="H16" s="130"/>
    </row>
    <row r="17" spans="1:8">
      <c r="A17" s="130" t="str">
        <f>DATA!B87&amp;"="&amp;DATA!C87</f>
        <v>FLUX DENSITY=1.43</v>
      </c>
      <c r="B17" s="130"/>
      <c r="C17" s="130"/>
      <c r="D17" s="130"/>
      <c r="E17" s="130"/>
      <c r="F17" s="130"/>
      <c r="G17" s="130"/>
      <c r="H17" s="130"/>
    </row>
    <row r="18" spans="1:8">
      <c r="A18" s="130" t="str">
        <f>"NUMMBER OF LV TURNS="&amp;DATA!C66</f>
        <v>NUMMBER OF LV TURNS=24</v>
      </c>
      <c r="B18" s="130"/>
      <c r="C18" s="130"/>
      <c r="D18" s="130"/>
      <c r="E18" s="130"/>
      <c r="F18" s="130"/>
      <c r="G18" s="130"/>
      <c r="H18" s="130"/>
    </row>
    <row r="19" spans="1:8">
      <c r="A19" s="130" t="str">
        <f>" LV SIDE PHASE VOLTAGE = "&amp;ROUND(DATA!C7/1.73205080757,1) &amp; " V"</f>
        <v xml:space="preserve"> LV SIDE PHASE VOLTAGE = 239.6 V</v>
      </c>
      <c r="B19" s="130"/>
      <c r="C19" s="130"/>
      <c r="D19" s="130"/>
      <c r="E19" s="130"/>
      <c r="F19" s="130"/>
      <c r="G19" s="130"/>
      <c r="H19" s="130"/>
    </row>
    <row r="20" spans="1:8">
      <c r="A20" s="73"/>
      <c r="B20" s="71"/>
      <c r="C20" s="71"/>
      <c r="D20" s="71"/>
      <c r="E20" s="71"/>
      <c r="F20" s="71"/>
      <c r="G20" s="71"/>
      <c r="H20" s="72"/>
    </row>
  </sheetData>
  <mergeCells count="8">
    <mergeCell ref="A18:H18"/>
    <mergeCell ref="A19:H19"/>
    <mergeCell ref="D8:E8"/>
    <mergeCell ref="D9:E9"/>
    <mergeCell ref="D10:E10"/>
    <mergeCell ref="D11:E11"/>
    <mergeCell ref="A16:H16"/>
    <mergeCell ref="A17:H17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12C0-AC09-4BB0-BF45-7698ADDAF121}">
  <dimension ref="A1:V37"/>
  <sheetViews>
    <sheetView workbookViewId="0">
      <selection activeCell="K26" sqref="K26"/>
    </sheetView>
  </sheetViews>
  <sheetFormatPr baseColWidth="10" defaultColWidth="8.83203125" defaultRowHeight="15"/>
  <cols>
    <col min="7" max="7" width="12.33203125" customWidth="1"/>
    <col min="12" max="12" width="14.5" customWidth="1"/>
    <col min="14" max="14" width="16.6640625" customWidth="1"/>
    <col min="15" max="15" width="2.1640625" customWidth="1"/>
    <col min="16" max="16" width="9.1640625" style="50"/>
  </cols>
  <sheetData>
    <row r="1" spans="1:22">
      <c r="A1" s="80"/>
      <c r="L1" s="81"/>
    </row>
    <row r="2" spans="1:22">
      <c r="A2" s="80"/>
      <c r="C2" s="133" t="s">
        <v>307</v>
      </c>
      <c r="D2" s="133"/>
      <c r="E2" s="133" t="s">
        <v>308</v>
      </c>
      <c r="F2" s="133"/>
      <c r="G2" s="133" t="s">
        <v>199</v>
      </c>
      <c r="H2" s="133"/>
      <c r="I2" s="133" t="s">
        <v>309</v>
      </c>
      <c r="J2" s="133"/>
      <c r="L2" s="81"/>
      <c r="N2" s="82" t="s">
        <v>310</v>
      </c>
      <c r="O2" s="82" t="s">
        <v>311</v>
      </c>
      <c r="P2" s="50">
        <f>DATA!C6</f>
        <v>6600</v>
      </c>
      <c r="Q2" s="82" t="s">
        <v>312</v>
      </c>
    </row>
    <row r="3" spans="1:22">
      <c r="A3" s="80"/>
      <c r="C3" s="133"/>
      <c r="D3" s="133"/>
      <c r="E3" s="133"/>
      <c r="F3" s="133"/>
      <c r="G3" s="133"/>
      <c r="H3" s="133"/>
      <c r="I3" s="133"/>
      <c r="J3" s="133"/>
      <c r="L3" s="81"/>
      <c r="N3" s="82" t="s">
        <v>313</v>
      </c>
      <c r="O3" s="82" t="s">
        <v>311</v>
      </c>
      <c r="P3" s="50">
        <f>DATA!C7</f>
        <v>415</v>
      </c>
      <c r="Q3" s="82" t="s">
        <v>312</v>
      </c>
    </row>
    <row r="4" spans="1:22">
      <c r="A4" s="133">
        <v>1</v>
      </c>
      <c r="B4" s="133"/>
      <c r="C4" s="133">
        <f t="shared" ref="C4" si="0">IF(E4="","",A4)</f>
        <v>1</v>
      </c>
      <c r="D4" s="133"/>
      <c r="E4" s="134">
        <f>IF(ISNUMBER(G4),G4*(1-0.005),"")</f>
        <v>28.77854586980737</v>
      </c>
      <c r="F4" s="134"/>
      <c r="G4" s="134">
        <f>IF(($P$6+$P$13)&lt;A4,"",$P$10*(1+($P$13-A4)*($P$7/100)))</f>
        <v>28.923161678198362</v>
      </c>
      <c r="H4" s="134"/>
      <c r="I4" s="134">
        <f>IF(ISNUMBER(G4),G4*(1+0.005),"")</f>
        <v>29.06777748658935</v>
      </c>
      <c r="J4" s="134"/>
      <c r="K4" s="132">
        <f>DATA!C76</f>
        <v>694</v>
      </c>
      <c r="L4" s="132"/>
      <c r="N4" s="82" t="s">
        <v>314</v>
      </c>
      <c r="O4" s="82" t="s">
        <v>311</v>
      </c>
      <c r="P4" s="50" t="str">
        <f>DATA!C89</f>
        <v>Dyn5</v>
      </c>
    </row>
    <row r="5" spans="1:22">
      <c r="A5" s="133"/>
      <c r="B5" s="133"/>
      <c r="C5" s="133"/>
      <c r="D5" s="133"/>
      <c r="E5" s="134"/>
      <c r="F5" s="134"/>
      <c r="G5" s="134"/>
      <c r="H5" s="134"/>
      <c r="I5" s="134"/>
      <c r="J5" s="134"/>
      <c r="K5" s="132"/>
      <c r="L5" s="132"/>
      <c r="N5" s="82" t="s">
        <v>316</v>
      </c>
      <c r="O5" s="82" t="s">
        <v>311</v>
      </c>
      <c r="P5" s="50">
        <f>DATA!C90</f>
        <v>2</v>
      </c>
    </row>
    <row r="6" spans="1:22">
      <c r="A6" s="133">
        <v>2</v>
      </c>
      <c r="B6" s="133"/>
      <c r="C6" s="133">
        <f t="shared" ref="C6" si="1">IF(E6="","",A6)</f>
        <v>2</v>
      </c>
      <c r="D6" s="133"/>
      <c r="E6" s="134">
        <f t="shared" ref="E6" si="2">IF(ISNUMBER(G6),G6*(1-0.005),"")</f>
        <v>28.093342396716714</v>
      </c>
      <c r="F6" s="134"/>
      <c r="G6" s="134">
        <f t="shared" ref="G6" si="3">IF(($P$6+$P$13)&lt;A6,"",$P$10*(1+($P$13-A6)*($P$7/100)))</f>
        <v>28.234514971574587</v>
      </c>
      <c r="H6" s="134"/>
      <c r="I6" s="134">
        <f t="shared" ref="I6" si="4">IF(ISNUMBER(G6),G6*(1+0.005),"")</f>
        <v>28.375687546432456</v>
      </c>
      <c r="J6" s="134"/>
      <c r="K6" s="132">
        <f>G6/$G$4*$K$4</f>
        <v>677.47619047619037</v>
      </c>
      <c r="L6" s="132"/>
      <c r="N6" s="82" t="s">
        <v>317</v>
      </c>
      <c r="O6" s="82" t="s">
        <v>311</v>
      </c>
      <c r="P6" s="50">
        <f>DATA!C91</f>
        <v>2</v>
      </c>
      <c r="Q6" s="82" t="s">
        <v>318</v>
      </c>
      <c r="V6" s="83" t="s">
        <v>319</v>
      </c>
    </row>
    <row r="7" spans="1:22">
      <c r="A7" s="133"/>
      <c r="B7" s="133"/>
      <c r="C7" s="133"/>
      <c r="D7" s="133"/>
      <c r="E7" s="134"/>
      <c r="F7" s="134"/>
      <c r="G7" s="134"/>
      <c r="H7" s="134"/>
      <c r="I7" s="134"/>
      <c r="J7" s="134"/>
      <c r="K7" s="132"/>
      <c r="L7" s="132"/>
      <c r="N7" s="82" t="s">
        <v>320</v>
      </c>
      <c r="O7" s="82" t="s">
        <v>311</v>
      </c>
      <c r="P7" s="50">
        <f>DATA!C92</f>
        <v>2.5</v>
      </c>
      <c r="Q7" s="82" t="s">
        <v>321</v>
      </c>
    </row>
    <row r="8" spans="1:22">
      <c r="A8" s="133">
        <v>3</v>
      </c>
      <c r="B8" s="133"/>
      <c r="C8" s="133">
        <f t="shared" ref="C8" si="5">IF(E8="","",A8)</f>
        <v>3</v>
      </c>
      <c r="D8" s="133"/>
      <c r="E8" s="134">
        <f t="shared" ref="E8" si="6">IF(ISNUMBER(G8),G8*(1-0.005),"")</f>
        <v>27.408138923626066</v>
      </c>
      <c r="F8" s="134"/>
      <c r="G8" s="134">
        <f t="shared" ref="G8" si="7">IF(($P$6+$P$13)&lt;A8,"",$P$10*(1+($P$13-A8)*($P$7/100)))</f>
        <v>27.545868264950819</v>
      </c>
      <c r="H8" s="134"/>
      <c r="I8" s="134">
        <f t="shared" ref="I8" si="8">IF(ISNUMBER(G8),G8*(1+0.005),"")</f>
        <v>27.683597606275569</v>
      </c>
      <c r="J8" s="134"/>
      <c r="K8" s="132">
        <f>G8/$G$4*$K$4</f>
        <v>660.95238095238096</v>
      </c>
      <c r="L8" s="132"/>
    </row>
    <row r="9" spans="1:22">
      <c r="A9" s="133"/>
      <c r="B9" s="133"/>
      <c r="C9" s="133"/>
      <c r="D9" s="133"/>
      <c r="E9" s="134"/>
      <c r="F9" s="134"/>
      <c r="G9" s="134"/>
      <c r="H9" s="134"/>
      <c r="I9" s="134"/>
      <c r="J9" s="134"/>
      <c r="K9" s="132"/>
      <c r="L9" s="132"/>
      <c r="Q9" s="84" t="s">
        <v>87</v>
      </c>
      <c r="R9" s="84" t="s">
        <v>88</v>
      </c>
    </row>
    <row r="10" spans="1:22">
      <c r="A10" s="133">
        <v>4</v>
      </c>
      <c r="B10" s="133"/>
      <c r="C10" s="133">
        <f t="shared" ref="C10" si="9">IF(E10="","",A10)</f>
        <v>4</v>
      </c>
      <c r="D10" s="133"/>
      <c r="E10" s="134">
        <f>IF(ISNUMBER(G10),G10*(1-0.005),"")</f>
        <v>26.722935450535413</v>
      </c>
      <c r="F10" s="134"/>
      <c r="G10" s="134">
        <f t="shared" ref="G10" si="10">IF(($P$6+$P$13)&lt;A10,"",$P$10*(1+($P$13-A10)*($P$7/100)))</f>
        <v>26.857221558327048</v>
      </c>
      <c r="H10" s="134"/>
      <c r="I10" s="134">
        <f t="shared" ref="I10" si="11">IF(ISNUMBER(G10),G10*(1+0.005),"")</f>
        <v>26.991507666118679</v>
      </c>
      <c r="J10" s="134"/>
      <c r="K10" s="132">
        <f>G10/$G$4*$K$4</f>
        <v>644.42857142857133</v>
      </c>
      <c r="L10" s="132"/>
      <c r="N10" s="82" t="s">
        <v>322</v>
      </c>
      <c r="O10" s="82" t="s">
        <v>311</v>
      </c>
      <c r="P10" s="50">
        <f>Q11/R11</f>
        <v>27.545868264950819</v>
      </c>
      <c r="Q10" s="37" t="str">
        <f>IF(EXACT(LEFT(P4,1),B36),"DELTA","STAR")</f>
        <v>DELTA</v>
      </c>
      <c r="R10" s="37" t="str">
        <f>IF(EXACT(LEFT(P4,1),B36),IF(EXACT(MID(P4,2,1),B37),"DELTA","STAR"),IF(EXACT(MID(P4,3,1),B37),"DELTA","STAR"))</f>
        <v>STAR</v>
      </c>
    </row>
    <row r="11" spans="1:22">
      <c r="A11" s="133"/>
      <c r="B11" s="133"/>
      <c r="C11" s="133"/>
      <c r="D11" s="133"/>
      <c r="E11" s="134"/>
      <c r="F11" s="134"/>
      <c r="G11" s="134"/>
      <c r="H11" s="134"/>
      <c r="I11" s="134"/>
      <c r="J11" s="134"/>
      <c r="K11" s="132"/>
      <c r="L11" s="132"/>
      <c r="Q11">
        <f>IF(EXACT("DELTA",Q10),P2,P2/SQRT(3))</f>
        <v>6600</v>
      </c>
      <c r="R11">
        <f>IF(EXACT("DELTA",R10),P3,P3/SQRT(3))</f>
        <v>239.6003617136947</v>
      </c>
    </row>
    <row r="12" spans="1:22">
      <c r="A12" s="133">
        <v>5</v>
      </c>
      <c r="B12" s="133"/>
      <c r="C12" s="133">
        <f t="shared" ref="C12" si="12">IF(E12="","",A12)</f>
        <v>5</v>
      </c>
      <c r="D12" s="133"/>
      <c r="E12" s="134">
        <f t="shared" ref="E12" si="13">IF(ISNUMBER(G12),G12*(1-0.005),"")</f>
        <v>26.037731977444761</v>
      </c>
      <c r="F12" s="134"/>
      <c r="G12" s="134">
        <f t="shared" ref="G12" si="14">IF(($P$6+$P$13)&lt;A12,"",$P$10*(1+($P$13-A12)*($P$7/100)))</f>
        <v>26.168574851703276</v>
      </c>
      <c r="H12" s="134"/>
      <c r="I12" s="134">
        <f t="shared" ref="I12" si="15">IF(ISNUMBER(G12),G12*(1+0.005),"")</f>
        <v>26.299417725961789</v>
      </c>
      <c r="J12" s="134"/>
      <c r="K12" s="132">
        <f>G12/$G$4*$K$4</f>
        <v>627.90476190476181</v>
      </c>
      <c r="L12" s="132"/>
    </row>
    <row r="13" spans="1:22">
      <c r="A13" s="133"/>
      <c r="B13" s="133"/>
      <c r="C13" s="133"/>
      <c r="D13" s="133"/>
      <c r="E13" s="134"/>
      <c r="F13" s="134"/>
      <c r="G13" s="134"/>
      <c r="H13" s="134"/>
      <c r="I13" s="134"/>
      <c r="J13" s="134"/>
      <c r="K13" s="132"/>
      <c r="L13" s="132"/>
      <c r="N13" s="82" t="s">
        <v>323</v>
      </c>
      <c r="O13" s="82" t="s">
        <v>311</v>
      </c>
      <c r="P13" s="50">
        <f>P5+1</f>
        <v>3</v>
      </c>
    </row>
    <row r="14" spans="1:22">
      <c r="A14" s="133">
        <v>6</v>
      </c>
      <c r="B14" s="133"/>
      <c r="C14" s="133" t="str">
        <f>IF(E14="","",A14)</f>
        <v/>
      </c>
      <c r="D14" s="133"/>
      <c r="E14" s="134" t="str">
        <f>IF(ISNUMBER(G14),G14*(1-0.005),"")</f>
        <v/>
      </c>
      <c r="F14" s="134"/>
      <c r="G14" s="134" t="str">
        <f t="shared" ref="G14" si="16">IF(($P$6+$P$13)&lt;A14,"",$P$10*(1+($P$13-A14)*($P$7/100)))</f>
        <v/>
      </c>
      <c r="H14" s="134"/>
      <c r="I14" s="134" t="str">
        <f t="shared" ref="I14" si="17">IF(ISNUMBER(G14),G14*(1+0.005),"")</f>
        <v/>
      </c>
      <c r="J14" s="134"/>
      <c r="K14" s="132" t="e">
        <f t="shared" ref="K14" si="18">G14/$G$4*$K$4</f>
        <v>#VALUE!</v>
      </c>
      <c r="L14" s="132"/>
    </row>
    <row r="15" spans="1:22">
      <c r="A15" s="133"/>
      <c r="B15" s="133"/>
      <c r="C15" s="133"/>
      <c r="D15" s="133"/>
      <c r="E15" s="134"/>
      <c r="F15" s="134"/>
      <c r="G15" s="134"/>
      <c r="H15" s="134"/>
      <c r="I15" s="134"/>
      <c r="J15" s="134"/>
      <c r="K15" s="132"/>
      <c r="L15" s="132"/>
    </row>
    <row r="16" spans="1:22">
      <c r="A16" s="133">
        <v>7</v>
      </c>
      <c r="B16" s="133"/>
      <c r="C16" s="133" t="str">
        <f>IF(E16="","",A16)</f>
        <v/>
      </c>
      <c r="D16" s="133"/>
      <c r="E16" s="134" t="str">
        <f t="shared" ref="E16" si="19">IF(ISNUMBER(G16),G16*(1-0.005),"")</f>
        <v/>
      </c>
      <c r="F16" s="134"/>
      <c r="G16" s="134" t="str">
        <f t="shared" ref="G16" si="20">IF(($P$6+$P$13)&lt;A16,"",$P$10*(1+($P$13-A16)*($P$7/100)))</f>
        <v/>
      </c>
      <c r="H16" s="134"/>
      <c r="I16" s="134" t="str">
        <f t="shared" ref="I16" si="21">IF(ISNUMBER(G16),G16*(1+0.005),"")</f>
        <v/>
      </c>
      <c r="J16" s="134"/>
      <c r="K16" s="132" t="e">
        <f t="shared" ref="K16" si="22">G16/$G$4*$K$4</f>
        <v>#VALUE!</v>
      </c>
      <c r="L16" s="132"/>
    </row>
    <row r="17" spans="1:12">
      <c r="A17" s="133"/>
      <c r="B17" s="133"/>
      <c r="C17" s="133"/>
      <c r="D17" s="133"/>
      <c r="E17" s="134"/>
      <c r="F17" s="134"/>
      <c r="G17" s="134"/>
      <c r="H17" s="134"/>
      <c r="I17" s="134"/>
      <c r="J17" s="134"/>
      <c r="K17" s="132"/>
      <c r="L17" s="132"/>
    </row>
    <row r="18" spans="1:12">
      <c r="A18" s="80"/>
      <c r="L18" s="81"/>
    </row>
    <row r="19" spans="1:12">
      <c r="B19" s="82" t="s">
        <v>324</v>
      </c>
      <c r="C19">
        <v>1</v>
      </c>
    </row>
    <row r="20" spans="1:12">
      <c r="B20" s="82" t="s">
        <v>325</v>
      </c>
      <c r="C20">
        <v>2</v>
      </c>
    </row>
    <row r="21" spans="1:12">
      <c r="B21" s="82" t="s">
        <v>326</v>
      </c>
      <c r="C21">
        <v>3</v>
      </c>
    </row>
    <row r="22" spans="1:12">
      <c r="B22" s="82" t="s">
        <v>327</v>
      </c>
      <c r="C22">
        <v>4</v>
      </c>
    </row>
    <row r="23" spans="1:12">
      <c r="B23" s="82" t="s">
        <v>328</v>
      </c>
      <c r="C23">
        <v>5</v>
      </c>
    </row>
    <row r="24" spans="1:12">
      <c r="B24" s="82" t="s">
        <v>329</v>
      </c>
      <c r="C24">
        <v>6</v>
      </c>
    </row>
    <row r="25" spans="1:12">
      <c r="B25" s="82" t="s">
        <v>330</v>
      </c>
      <c r="C25">
        <v>7</v>
      </c>
    </row>
    <row r="26" spans="1:12">
      <c r="B26" s="82" t="s">
        <v>331</v>
      </c>
    </row>
    <row r="27" spans="1:12">
      <c r="B27" s="82" t="s">
        <v>332</v>
      </c>
    </row>
    <row r="28" spans="1:12">
      <c r="B28" s="82" t="s">
        <v>333</v>
      </c>
    </row>
    <row r="29" spans="1:12">
      <c r="B29" s="82" t="s">
        <v>334</v>
      </c>
    </row>
    <row r="30" spans="1:12">
      <c r="B30" s="82" t="s">
        <v>335</v>
      </c>
    </row>
    <row r="31" spans="1:12">
      <c r="B31" s="82" t="s">
        <v>336</v>
      </c>
    </row>
    <row r="32" spans="1:12">
      <c r="B32" s="82" t="s">
        <v>315</v>
      </c>
    </row>
    <row r="33" spans="2:2">
      <c r="B33" s="82" t="s">
        <v>337</v>
      </c>
    </row>
    <row r="34" spans="2:2">
      <c r="B34" s="82" t="s">
        <v>338</v>
      </c>
    </row>
    <row r="35" spans="2:2">
      <c r="B35" s="82" t="s">
        <v>339</v>
      </c>
    </row>
    <row r="36" spans="2:2">
      <c r="B36" s="82" t="s">
        <v>45</v>
      </c>
    </row>
    <row r="37" spans="2:2">
      <c r="B37" s="82" t="s">
        <v>340</v>
      </c>
    </row>
  </sheetData>
  <mergeCells count="46">
    <mergeCell ref="C2:D3"/>
    <mergeCell ref="E2:F3"/>
    <mergeCell ref="G2:H3"/>
    <mergeCell ref="I2:J3"/>
    <mergeCell ref="A4:B5"/>
    <mergeCell ref="C4:D5"/>
    <mergeCell ref="E4:F5"/>
    <mergeCell ref="G4:H5"/>
    <mergeCell ref="I4:J5"/>
    <mergeCell ref="C6:D7"/>
    <mergeCell ref="E6:F7"/>
    <mergeCell ref="G6:H7"/>
    <mergeCell ref="I6:J7"/>
    <mergeCell ref="C8:D9"/>
    <mergeCell ref="E8:F9"/>
    <mergeCell ref="G8:H9"/>
    <mergeCell ref="I8:J9"/>
    <mergeCell ref="C10:D11"/>
    <mergeCell ref="E10:F11"/>
    <mergeCell ref="G10:H11"/>
    <mergeCell ref="I10:J11"/>
    <mergeCell ref="C12:D13"/>
    <mergeCell ref="E12:F13"/>
    <mergeCell ref="G12:H13"/>
    <mergeCell ref="I12:J13"/>
    <mergeCell ref="C14:D15"/>
    <mergeCell ref="E14:F15"/>
    <mergeCell ref="G14:H15"/>
    <mergeCell ref="I14:J15"/>
    <mergeCell ref="A16:B17"/>
    <mergeCell ref="C16:D17"/>
    <mergeCell ref="E16:F17"/>
    <mergeCell ref="G16:H17"/>
    <mergeCell ref="I16:J17"/>
    <mergeCell ref="A6:B7"/>
    <mergeCell ref="A8:B9"/>
    <mergeCell ref="A10:B11"/>
    <mergeCell ref="A12:B13"/>
    <mergeCell ref="A14:B15"/>
    <mergeCell ref="K14:L15"/>
    <mergeCell ref="K16:L17"/>
    <mergeCell ref="K4:L5"/>
    <mergeCell ref="K6:L7"/>
    <mergeCell ref="K8:L9"/>
    <mergeCell ref="K10:L11"/>
    <mergeCell ref="K12:L13"/>
  </mergeCells>
  <dataValidations count="1">
    <dataValidation type="list" allowBlank="1" showInputMessage="1" showErrorMessage="1" sqref="P4:P7" xr:uid="{4F0604E0-45C2-469C-99A5-D254FC693263}">
      <formula1>VEC_GRP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073A921D81A4AA08C215B3E945D98" ma:contentTypeVersion="16" ma:contentTypeDescription="Create a new document." ma:contentTypeScope="" ma:versionID="50da51c64aab0f5a6e35205241c488aa">
  <xsd:schema xmlns:xsd="http://www.w3.org/2001/XMLSchema" xmlns:xs="http://www.w3.org/2001/XMLSchema" xmlns:p="http://schemas.microsoft.com/office/2006/metadata/properties" xmlns:ns2="3aaed9ec-d701-4690-ad35-0f06414b0c0b" xmlns:ns3="9b6de309-5530-4873-9edf-2fbcf50441ec" targetNamespace="http://schemas.microsoft.com/office/2006/metadata/properties" ma:root="true" ma:fieldsID="35223fcd4907379e66f718945763e5d8" ns2:_="" ns3:_="">
    <xsd:import namespace="3aaed9ec-d701-4690-ad35-0f06414b0c0b"/>
    <xsd:import namespace="9b6de309-5530-4873-9edf-2fbcf5044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ed9ec-d701-4690-ad35-0f06414b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441ece5-d214-418f-ad0e-b0a37d838b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de309-5530-4873-9edf-2fbcf5044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ed9c3-4889-49ad-ada9-c631e60dfd1a}" ma:internalName="TaxCatchAll" ma:showField="CatchAllData" ma:web="9b6de309-5530-4873-9edf-2fbcf5044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6de309-5530-4873-9edf-2fbcf50441ec" xsi:nil="true"/>
    <lcf76f155ced4ddcb4097134ff3c332f xmlns="3aaed9ec-d701-4690-ad35-0f06414b0c0b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DDE411A7-0DB5-4E2D-BA82-7B408F660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ed9ec-d701-4690-ad35-0f06414b0c0b"/>
    <ds:schemaRef ds:uri="9b6de309-5530-4873-9edf-2fbcf5044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F1C6BA-F7EB-4575-A065-F0073AE9A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CA766-CFA2-4BF6-A592-796049039C6F}">
  <ds:schemaRefs>
    <ds:schemaRef ds:uri="9b6de309-5530-4873-9edf-2fbcf50441ec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3aaed9ec-d701-4690-ad35-0f06414b0c0b"/>
    <ds:schemaRef ds:uri="http://schemas.microsoft.com/office/infopath/2007/PartnerControl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8AE3D020-3D3C-445A-B9E1-875021A78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Version</vt:lpstr>
      <vt:lpstr>Design</vt:lpstr>
      <vt:lpstr>DATA</vt:lpstr>
      <vt:lpstr>LV</vt:lpstr>
      <vt:lpstr>HV</vt:lpstr>
      <vt:lpstr>CB</vt:lpstr>
      <vt:lpstr>AS-1</vt:lpstr>
      <vt:lpstr>AS-2</vt:lpstr>
      <vt:lpstr>3</vt:lpstr>
      <vt:lpstr>4</vt:lpstr>
      <vt:lpstr>4(data)</vt:lpstr>
      <vt:lpstr>5</vt:lpstr>
      <vt:lpstr>6</vt:lpstr>
      <vt:lpstr>6 4-step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Prashanth</cp:lastModifiedBy>
  <cp:lastPrinted>2020-02-06T07:19:35Z</cp:lastPrinted>
  <dcterms:created xsi:type="dcterms:W3CDTF">2020-02-03T08:32:06Z</dcterms:created>
  <dcterms:modified xsi:type="dcterms:W3CDTF">2023-04-14T15:12:48Z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0x010100E72073A921D81A4AA08C215B3E945D98</vt:lpwstr>
  </property>
  <property fmtid="{D5CDD505-2E9C-101B-9397-08002B2CF9AE}" pid="3" name="Order">
    <vt:r8>8725000</vt:r8>
  </property>
  <property fmtid="{D5CDD505-2E9C-101B-9397-08002B2CF9AE}" pid="4" name="MediaServiceImageTags">
    <vt:lpwstr/>
  </property>
</Properties>
</file>