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LTL\BOM Automation v15.4\"/>
    </mc:Choice>
  </mc:AlternateContent>
  <xr:revisionPtr revIDLastSave="0" documentId="13_ncr:1_{DEA9DF86-6E94-494A-92C0-F7E825A946E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  <sheet name="DDOSnew" sheetId="25" r:id="rId8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Techspecs!$A$1:$K$63</definedName>
    <definedName name="report" localSheetId="1">P!$B$15:$H$130</definedName>
    <definedName name="REPORTVB" localSheetId="0">'R'!$A$1:$G$91</definedName>
    <definedName name="REPORTVB_1" localSheetId="0">'R'!$A$1:$G$91</definedName>
    <definedName name="REPORTVB_2" localSheetId="0">'R'!$A$1:$G$91</definedName>
    <definedName name="Steel_Channel">Q!$A$239:$A$245</definedName>
    <definedName name="Tap_selector">Q!$F$351:$F$361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6" l="1"/>
  <c r="B56" i="6"/>
  <c r="G36" i="6"/>
  <c r="G66" i="6" l="1"/>
  <c r="G67" i="6"/>
  <c r="G68" i="6"/>
  <c r="G69" i="6"/>
  <c r="G70" i="6"/>
  <c r="G72" i="6"/>
  <c r="G73" i="6"/>
  <c r="G74" i="6"/>
  <c r="G65" i="6"/>
  <c r="B59" i="6" l="1"/>
  <c r="D7" i="4" l="1"/>
  <c r="D88" i="4" s="1"/>
  <c r="D2" i="4"/>
  <c r="C19" i="4" s="1"/>
  <c r="C65" i="5" s="1"/>
  <c r="J61" i="8"/>
  <c r="J60" i="8"/>
  <c r="B42" i="25"/>
  <c r="B40" i="25"/>
  <c r="J59" i="8"/>
  <c r="H25" i="8"/>
  <c r="J47" i="8"/>
  <c r="B96" i="6"/>
  <c r="G60" i="6"/>
  <c r="G52" i="6"/>
  <c r="I52" i="6"/>
  <c r="G37" i="6"/>
  <c r="I37" i="6"/>
  <c r="I36" i="6"/>
  <c r="G134" i="6"/>
  <c r="I134" i="6"/>
  <c r="B140" i="6"/>
  <c r="B120" i="6"/>
  <c r="B121" i="6"/>
  <c r="B122" i="6"/>
  <c r="B123" i="6"/>
  <c r="B124" i="6"/>
  <c r="B125" i="6"/>
  <c r="B126" i="6"/>
  <c r="B127" i="6"/>
  <c r="B128" i="6"/>
  <c r="G34" i="6"/>
  <c r="I34" i="6"/>
  <c r="G35" i="6"/>
  <c r="I35" i="6"/>
  <c r="B111" i="5"/>
  <c r="G38" i="6"/>
  <c r="I38" i="6"/>
  <c r="G28" i="6"/>
  <c r="I28" i="6"/>
  <c r="I20" i="6"/>
  <c r="I21" i="6"/>
  <c r="G20" i="6"/>
  <c r="G462" i="5"/>
  <c r="G447" i="5"/>
  <c r="C73" i="10"/>
  <c r="I170" i="5"/>
  <c r="J170" i="5"/>
  <c r="J169" i="5"/>
  <c r="I169" i="5"/>
  <c r="B79" i="10"/>
  <c r="C5" i="6"/>
  <c r="C100" i="5"/>
  <c r="B100" i="5"/>
  <c r="G108" i="6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C95" i="4" s="1"/>
  <c r="B216" i="5" s="1"/>
  <c r="B68" i="6"/>
  <c r="B70" i="6"/>
  <c r="B71" i="6"/>
  <c r="A438" i="5"/>
  <c r="B139" i="6" s="1"/>
  <c r="B114" i="6"/>
  <c r="B115" i="6"/>
  <c r="B116" i="6"/>
  <c r="B117" i="6"/>
  <c r="G81" i="6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/>
  <c r="G93" i="6"/>
  <c r="I93" i="6"/>
  <c r="B93" i="6"/>
  <c r="H401" i="5"/>
  <c r="B390" i="5"/>
  <c r="G92" i="6"/>
  <c r="H400" i="5"/>
  <c r="B389" i="5"/>
  <c r="I91" i="6"/>
  <c r="I92" i="6"/>
  <c r="C251" i="5"/>
  <c r="B243" i="5"/>
  <c r="J48" i="5"/>
  <c r="J49" i="5"/>
  <c r="I47" i="5"/>
  <c r="J47" i="5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2" i="6"/>
  <c r="B113" i="6"/>
  <c r="B98" i="6"/>
  <c r="B99" i="6"/>
  <c r="B100" i="6"/>
  <c r="B101" i="6"/>
  <c r="B102" i="6"/>
  <c r="B103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I66" i="6"/>
  <c r="I67" i="6"/>
  <c r="I68" i="6"/>
  <c r="B55" i="6"/>
  <c r="C39" i="5"/>
  <c r="B39" i="5"/>
  <c r="E307" i="5" s="1"/>
  <c r="D11" i="4"/>
  <c r="B124" i="4" s="1"/>
  <c r="D10" i="4"/>
  <c r="E119" i="4" s="1"/>
  <c r="D9" i="4"/>
  <c r="C105" i="4" s="1"/>
  <c r="D6" i="4"/>
  <c r="B77" i="4" s="1"/>
  <c r="D5" i="4"/>
  <c r="B56" i="4" s="1"/>
  <c r="D4" i="4"/>
  <c r="H43" i="4" s="1"/>
  <c r="D3" i="4"/>
  <c r="H28" i="4" s="1"/>
  <c r="H12" i="8"/>
  <c r="K5" i="10"/>
  <c r="J5" i="10"/>
  <c r="K4" i="10"/>
  <c r="J4" i="10"/>
  <c r="J8" i="8"/>
  <c r="G69" i="10"/>
  <c r="G99" i="6"/>
  <c r="G103" i="6"/>
  <c r="I104" i="6"/>
  <c r="G105" i="6"/>
  <c r="B97" i="6"/>
  <c r="G136" i="6"/>
  <c r="E141" i="6"/>
  <c r="G141" i="6"/>
  <c r="G58" i="6"/>
  <c r="G61" i="6"/>
  <c r="G64" i="6"/>
  <c r="E74" i="6"/>
  <c r="G78" i="6"/>
  <c r="E79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C11" i="6"/>
  <c r="A92" i="4"/>
  <c r="A93" i="4"/>
  <c r="C13" i="4"/>
  <c r="D13" i="4"/>
  <c r="A41" i="4"/>
  <c r="A42" i="4"/>
  <c r="A43" i="4"/>
  <c r="A44" i="4"/>
  <c r="A45" i="4"/>
  <c r="A46" i="4"/>
  <c r="A47" i="4"/>
  <c r="A48" i="4"/>
  <c r="A49" i="4"/>
  <c r="A50" i="4"/>
  <c r="A51" i="4"/>
  <c r="A52" i="4"/>
  <c r="A57" i="4"/>
  <c r="A58" i="4"/>
  <c r="A59" i="4"/>
  <c r="A60" i="4"/>
  <c r="A61" i="4"/>
  <c r="A62" i="4"/>
  <c r="A63" i="4"/>
  <c r="A64" i="4"/>
  <c r="A65" i="4"/>
  <c r="A66" i="4"/>
  <c r="A67" i="4"/>
  <c r="A68" i="4"/>
  <c r="A25" i="4"/>
  <c r="A16" i="4"/>
  <c r="A17" i="4"/>
  <c r="A18" i="4"/>
  <c r="A19" i="4"/>
  <c r="A20" i="4"/>
  <c r="A21" i="4"/>
  <c r="A22" i="4"/>
  <c r="A82" i="4"/>
  <c r="A83" i="4"/>
  <c r="A84" i="4"/>
  <c r="A85" i="4"/>
  <c r="A86" i="4"/>
  <c r="A87" i="4"/>
  <c r="A88" i="4"/>
  <c r="A114" i="4"/>
  <c r="A115" i="4"/>
  <c r="A116" i="4"/>
  <c r="A117" i="4"/>
  <c r="A118" i="4"/>
  <c r="A119" i="4"/>
  <c r="A123" i="4"/>
  <c r="A124" i="4"/>
  <c r="A125" i="4"/>
  <c r="A126" i="4"/>
  <c r="A127" i="4"/>
  <c r="A128" i="4"/>
  <c r="A129" i="4"/>
  <c r="A130" i="4"/>
  <c r="A131" i="4"/>
  <c r="A72" i="4"/>
  <c r="A13" i="4"/>
  <c r="A23" i="4"/>
  <c r="A39" i="4"/>
  <c r="A55" i="4"/>
  <c r="A70" i="4"/>
  <c r="A80" i="4"/>
  <c r="A90" i="4"/>
  <c r="A102" i="4"/>
  <c r="A104" i="4"/>
  <c r="A105" i="4"/>
  <c r="A106" i="4"/>
  <c r="A107" i="4"/>
  <c r="A108" i="4"/>
  <c r="A109" i="4"/>
  <c r="A110" i="4"/>
  <c r="A112" i="4"/>
  <c r="A121" i="4"/>
  <c r="D305" i="5"/>
  <c r="E305" i="5"/>
  <c r="E308" i="5"/>
  <c r="C249" i="5"/>
  <c r="C247" i="5"/>
  <c r="C248" i="5"/>
  <c r="C250" i="5"/>
  <c r="B223" i="5"/>
  <c r="M254" i="5"/>
  <c r="B242" i="5"/>
  <c r="B241" i="5"/>
  <c r="B240" i="5"/>
  <c r="B239" i="5"/>
  <c r="A26" i="4"/>
  <c r="A27" i="4"/>
  <c r="A28" i="4"/>
  <c r="A29" i="4"/>
  <c r="A30" i="4"/>
  <c r="A31" i="4"/>
  <c r="A32" i="4"/>
  <c r="A33" i="4"/>
  <c r="A34" i="4"/>
  <c r="G98" i="6"/>
  <c r="I98" i="6"/>
  <c r="I89" i="6"/>
  <c r="I96" i="6"/>
  <c r="G96" i="6"/>
  <c r="B77" i="10"/>
  <c r="I101" i="6"/>
  <c r="G101" i="6"/>
  <c r="A73" i="4"/>
  <c r="A74" i="4"/>
  <c r="A75" i="4"/>
  <c r="A76" i="4"/>
  <c r="A77" i="4"/>
  <c r="A78" i="4"/>
  <c r="I105" i="6"/>
  <c r="G104" i="6"/>
  <c r="I106" i="6"/>
  <c r="I103" i="6"/>
  <c r="I102" i="6"/>
  <c r="G107" i="6"/>
  <c r="G102" i="6"/>
  <c r="I107" i="6"/>
  <c r="A94" i="4"/>
  <c r="A35" i="4"/>
  <c r="A36" i="4"/>
  <c r="E13" i="4"/>
  <c r="I74" i="6"/>
  <c r="I73" i="6"/>
  <c r="I72" i="6"/>
  <c r="I83" i="6"/>
  <c r="I141" i="6"/>
  <c r="I79" i="6"/>
  <c r="A95" i="4"/>
  <c r="F13" i="4"/>
  <c r="A96" i="4"/>
  <c r="A97" i="4"/>
  <c r="G13" i="4"/>
  <c r="F88" i="4"/>
  <c r="A98" i="4"/>
  <c r="H13" i="4"/>
  <c r="G57" i="6"/>
  <c r="A99" i="4"/>
  <c r="I57" i="6"/>
  <c r="I60" i="6"/>
  <c r="D436" i="5"/>
  <c r="E137" i="6"/>
  <c r="G137" i="6"/>
  <c r="A100" i="4"/>
  <c r="I137" i="6"/>
  <c r="H394" i="5"/>
  <c r="H396" i="5"/>
  <c r="H397" i="5"/>
  <c r="H398" i="5"/>
  <c r="C103" i="5"/>
  <c r="B103" i="5"/>
  <c r="B108" i="5"/>
  <c r="B107" i="5"/>
  <c r="G91" i="6"/>
  <c r="G90" i="6"/>
  <c r="G89" i="6"/>
  <c r="H84" i="4"/>
  <c r="F87" i="4"/>
  <c r="F81" i="4"/>
  <c r="H86" i="4"/>
  <c r="B82" i="4"/>
  <c r="B87" i="4"/>
  <c r="H83" i="4"/>
  <c r="H87" i="4"/>
  <c r="G82" i="4"/>
  <c r="F82" i="4"/>
  <c r="C82" i="4"/>
  <c r="C88" i="4"/>
  <c r="B86" i="4"/>
  <c r="G84" i="4"/>
  <c r="F83" i="4"/>
  <c r="E88" i="4"/>
  <c r="E82" i="4"/>
  <c r="E83" i="4"/>
  <c r="B85" i="4"/>
  <c r="D86" i="4"/>
  <c r="D87" i="4"/>
  <c r="D81" i="4"/>
  <c r="H82" i="4"/>
  <c r="G83" i="4"/>
  <c r="E87" i="4"/>
  <c r="E84" i="4"/>
  <c r="D82" i="4"/>
  <c r="C81" i="4"/>
  <c r="C84" i="4"/>
  <c r="D82" i="5" s="1"/>
  <c r="C82" i="5" s="1"/>
  <c r="B82" i="5" s="1"/>
  <c r="H27" i="8" s="1"/>
  <c r="D84" i="4"/>
  <c r="C87" i="4"/>
  <c r="I56" i="6"/>
  <c r="G56" i="6"/>
  <c r="H21" i="8"/>
  <c r="H15" i="8"/>
  <c r="G139" i="6"/>
  <c r="G59" i="6"/>
  <c r="I138" i="6"/>
  <c r="G138" i="6"/>
  <c r="I59" i="6"/>
  <c r="I139" i="6"/>
  <c r="I140" i="6"/>
  <c r="G140" i="6"/>
  <c r="G311" i="5"/>
  <c r="B311" i="5"/>
  <c r="A101" i="5"/>
  <c r="E311" i="5"/>
  <c r="B101" i="5"/>
  <c r="H395" i="5"/>
  <c r="H393" i="5"/>
  <c r="H392" i="5"/>
  <c r="H391" i="5"/>
  <c r="H387" i="5"/>
  <c r="B109" i="5" s="1"/>
  <c r="H388" i="5"/>
  <c r="C86" i="4" l="1"/>
  <c r="F85" i="4"/>
  <c r="B84" i="4"/>
  <c r="F84" i="4"/>
  <c r="G86" i="4"/>
  <c r="B81" i="4"/>
  <c r="E81" i="4"/>
  <c r="G87" i="4"/>
  <c r="C83" i="4"/>
  <c r="D81" i="5" s="1"/>
  <c r="C81" i="5" s="1"/>
  <c r="B81" i="5" s="1"/>
  <c r="F86" i="4"/>
  <c r="G88" i="4"/>
  <c r="G85" i="4"/>
  <c r="D83" i="4"/>
  <c r="H81" i="4"/>
  <c r="E85" i="4"/>
  <c r="H85" i="4"/>
  <c r="G81" i="4"/>
  <c r="D85" i="4"/>
  <c r="E86" i="4"/>
  <c r="B78" i="4"/>
  <c r="D73" i="4"/>
  <c r="F64" i="4"/>
  <c r="E76" i="4"/>
  <c r="D75" i="4"/>
  <c r="B74" i="4"/>
  <c r="F74" i="4"/>
  <c r="H22" i="4"/>
  <c r="B17" i="4"/>
  <c r="E132" i="5" s="1"/>
  <c r="B132" i="5" s="1"/>
  <c r="F8" i="8" s="1"/>
  <c r="B41" i="25" s="1"/>
  <c r="F75" i="4"/>
  <c r="E16" i="4"/>
  <c r="F71" i="4"/>
  <c r="B71" i="4"/>
  <c r="H73" i="4"/>
  <c r="E21" i="4"/>
  <c r="D15" i="4"/>
  <c r="H16" i="4"/>
  <c r="G71" i="4"/>
  <c r="B72" i="4"/>
  <c r="E20" i="4"/>
  <c r="B76" i="5" s="1"/>
  <c r="C12" i="10" s="1"/>
  <c r="B21" i="4"/>
  <c r="C21" i="4"/>
  <c r="E78" i="4"/>
  <c r="C77" i="4"/>
  <c r="G73" i="4"/>
  <c r="H78" i="4"/>
  <c r="F20" i="4"/>
  <c r="D21" i="4"/>
  <c r="H17" i="4"/>
  <c r="D135" i="5" s="1"/>
  <c r="E65" i="4"/>
  <c r="H37" i="4"/>
  <c r="G65" i="4"/>
  <c r="H88" i="4"/>
  <c r="D62" i="4"/>
  <c r="E58" i="4"/>
  <c r="Q34" i="10" s="1"/>
  <c r="E59" i="4"/>
  <c r="Q36" i="10" s="1"/>
  <c r="C66" i="4"/>
  <c r="K58" i="10" s="1"/>
  <c r="G56" i="4"/>
  <c r="G52" i="4"/>
  <c r="H115" i="4"/>
  <c r="H38" i="4"/>
  <c r="C27" i="4"/>
  <c r="C4" i="10" s="1"/>
  <c r="E100" i="4"/>
  <c r="F98" i="4"/>
  <c r="C97" i="4"/>
  <c r="G58" i="10" s="1"/>
  <c r="E99" i="4"/>
  <c r="H96" i="4"/>
  <c r="F94" i="4"/>
  <c r="B116" i="4"/>
  <c r="H91" i="4"/>
  <c r="F93" i="4"/>
  <c r="D130" i="4"/>
  <c r="H58" i="4"/>
  <c r="C211" i="5" s="1"/>
  <c r="B63" i="4"/>
  <c r="H61" i="4"/>
  <c r="C179" i="5" s="1"/>
  <c r="E56" i="4"/>
  <c r="B59" i="4"/>
  <c r="B67" i="4"/>
  <c r="E57" i="4"/>
  <c r="D60" i="4"/>
  <c r="C63" i="4"/>
  <c r="H63" i="4"/>
  <c r="E156" i="5" s="1"/>
  <c r="G59" i="4"/>
  <c r="C56" i="4"/>
  <c r="D57" i="4"/>
  <c r="G130" i="4"/>
  <c r="C65" i="4"/>
  <c r="F16" i="10" s="1"/>
  <c r="D68" i="4"/>
  <c r="F60" i="4"/>
  <c r="C68" i="4"/>
  <c r="C64" i="4"/>
  <c r="F30" i="10" s="1"/>
  <c r="H56" i="4"/>
  <c r="F65" i="4"/>
  <c r="G125" i="4"/>
  <c r="C60" i="4"/>
  <c r="B457" i="5" s="1"/>
  <c r="D56" i="4"/>
  <c r="E63" i="4"/>
  <c r="G67" i="4"/>
  <c r="E45" i="4"/>
  <c r="C33" i="10" s="1"/>
  <c r="E28" i="4"/>
  <c r="A6" i="10" s="1"/>
  <c r="F37" i="4"/>
  <c r="G46" i="4"/>
  <c r="C33" i="4"/>
  <c r="E95" i="4"/>
  <c r="F33" i="4"/>
  <c r="D194" i="5" s="1"/>
  <c r="H50" i="4"/>
  <c r="B49" i="4"/>
  <c r="C36" i="4"/>
  <c r="D129" i="4"/>
  <c r="H131" i="4"/>
  <c r="E33" i="4"/>
  <c r="D195" i="5" s="1"/>
  <c r="C195" i="5" s="1"/>
  <c r="H46" i="4"/>
  <c r="D34" i="4"/>
  <c r="F28" i="4"/>
  <c r="E189" i="5" s="1"/>
  <c r="D26" i="4"/>
  <c r="D29" i="4"/>
  <c r="C26" i="4"/>
  <c r="B196" i="5" s="1"/>
  <c r="B197" i="5" s="1"/>
  <c r="F30" i="4"/>
  <c r="E191" i="5" s="1"/>
  <c r="C34" i="4"/>
  <c r="E25" i="4"/>
  <c r="C30" i="4"/>
  <c r="B87" i="5" s="1"/>
  <c r="H35" i="8" s="1"/>
  <c r="E26" i="4"/>
  <c r="D141" i="5" s="1"/>
  <c r="D35" i="4"/>
  <c r="C24" i="4"/>
  <c r="E32" i="4"/>
  <c r="D27" i="4"/>
  <c r="D28" i="4"/>
  <c r="B25" i="4"/>
  <c r="F26" i="4"/>
  <c r="D187" i="5" s="1"/>
  <c r="H36" i="4"/>
  <c r="D36" i="4"/>
  <c r="H35" i="4"/>
  <c r="B33" i="4"/>
  <c r="B35" i="4"/>
  <c r="F36" i="4"/>
  <c r="F32" i="4"/>
  <c r="D193" i="5" s="1"/>
  <c r="G24" i="4"/>
  <c r="F27" i="4"/>
  <c r="E188" i="5" s="1"/>
  <c r="C25" i="4"/>
  <c r="B31" i="4"/>
  <c r="B24" i="4"/>
  <c r="D33" i="4"/>
  <c r="B27" i="4"/>
  <c r="C31" i="4"/>
  <c r="F35" i="4"/>
  <c r="C37" i="4"/>
  <c r="G35" i="4"/>
  <c r="E29" i="4"/>
  <c r="H24" i="4"/>
  <c r="D31" i="4"/>
  <c r="B34" i="4"/>
  <c r="B32" i="4"/>
  <c r="B28" i="4"/>
  <c r="B30" i="4"/>
  <c r="D30" i="4"/>
  <c r="F31" i="4"/>
  <c r="E192" i="5" s="1"/>
  <c r="G38" i="4"/>
  <c r="C32" i="4"/>
  <c r="B26" i="4"/>
  <c r="F24" i="4"/>
  <c r="E34" i="4"/>
  <c r="G34" i="4"/>
  <c r="C35" i="4"/>
  <c r="E31" i="4"/>
  <c r="G52" i="10" s="1"/>
  <c r="E24" i="4"/>
  <c r="H106" i="4"/>
  <c r="B36" i="4"/>
  <c r="E37" i="4"/>
  <c r="F38" i="4"/>
  <c r="H34" i="4"/>
  <c r="E27" i="4"/>
  <c r="D142" i="5" s="1"/>
  <c r="C142" i="5" s="1"/>
  <c r="B142" i="5" s="1"/>
  <c r="C5" i="10" s="1"/>
  <c r="C38" i="4"/>
  <c r="K186" i="5" s="1"/>
  <c r="E35" i="4"/>
  <c r="C28" i="4"/>
  <c r="A5" i="10" s="1"/>
  <c r="B37" i="4"/>
  <c r="F34" i="4"/>
  <c r="G37" i="4"/>
  <c r="D32" i="4"/>
  <c r="D25" i="4"/>
  <c r="F29" i="4"/>
  <c r="D190" i="5" s="1"/>
  <c r="G33" i="4"/>
  <c r="H194" i="5" s="1"/>
  <c r="D37" i="4"/>
  <c r="E38" i="4"/>
  <c r="O187" i="5" s="1"/>
  <c r="H33" i="4"/>
  <c r="I194" i="5" s="1"/>
  <c r="C29" i="4"/>
  <c r="B86" i="5" s="1"/>
  <c r="D56" i="10" s="1"/>
  <c r="G36" i="4"/>
  <c r="D38" i="4"/>
  <c r="N187" i="5" s="1"/>
  <c r="D24" i="4"/>
  <c r="E36" i="4"/>
  <c r="E30" i="4"/>
  <c r="F126" i="4"/>
  <c r="H128" i="4"/>
  <c r="B127" i="4"/>
  <c r="G126" i="4"/>
  <c r="G131" i="4"/>
  <c r="B126" i="4"/>
  <c r="B130" i="4"/>
  <c r="F92" i="4"/>
  <c r="F125" i="4"/>
  <c r="G127" i="4"/>
  <c r="G122" i="4"/>
  <c r="H122" i="4"/>
  <c r="E125" i="4"/>
  <c r="D128" i="4"/>
  <c r="F124" i="4"/>
  <c r="G124" i="4"/>
  <c r="C124" i="4"/>
  <c r="E129" i="4"/>
  <c r="F130" i="4"/>
  <c r="C128" i="4"/>
  <c r="H126" i="4"/>
  <c r="C126" i="4"/>
  <c r="D131" i="4"/>
  <c r="B128" i="4"/>
  <c r="B60" i="4"/>
  <c r="D66" i="4"/>
  <c r="F56" i="4"/>
  <c r="C62" i="4"/>
  <c r="A174" i="5" s="1"/>
  <c r="B458" i="5" s="1"/>
  <c r="F57" i="4"/>
  <c r="F58" i="4"/>
  <c r="D123" i="4"/>
  <c r="C129" i="4"/>
  <c r="H123" i="4"/>
  <c r="C130" i="4"/>
  <c r="D126" i="4"/>
  <c r="B131" i="4"/>
  <c r="C131" i="4"/>
  <c r="C127" i="4"/>
  <c r="E122" i="4"/>
  <c r="D122" i="4"/>
  <c r="D124" i="4"/>
  <c r="H130" i="4"/>
  <c r="E127" i="4"/>
  <c r="C123" i="4"/>
  <c r="F128" i="4"/>
  <c r="B123" i="4"/>
  <c r="E117" i="4"/>
  <c r="G83" i="5" s="1"/>
  <c r="E55" i="10" s="1"/>
  <c r="D61" i="4"/>
  <c r="G63" i="4"/>
  <c r="B58" i="4"/>
  <c r="G68" i="4"/>
  <c r="D127" i="4"/>
  <c r="B129" i="4"/>
  <c r="E130" i="4"/>
  <c r="F127" i="4"/>
  <c r="G129" i="4"/>
  <c r="B122" i="4"/>
  <c r="F123" i="4"/>
  <c r="H125" i="4"/>
  <c r="C125" i="4"/>
  <c r="E126" i="4"/>
  <c r="G128" i="4"/>
  <c r="E128" i="4"/>
  <c r="G123" i="4"/>
  <c r="H124" i="4"/>
  <c r="B125" i="4"/>
  <c r="H129" i="4"/>
  <c r="D125" i="4"/>
  <c r="E131" i="4"/>
  <c r="H127" i="4"/>
  <c r="F131" i="4"/>
  <c r="F122" i="4"/>
  <c r="C122" i="4"/>
  <c r="E123" i="4"/>
  <c r="E124" i="4"/>
  <c r="D88" i="5" s="1"/>
  <c r="F129" i="4"/>
  <c r="B388" i="5"/>
  <c r="B117" i="4"/>
  <c r="D118" i="4"/>
  <c r="H114" i="4"/>
  <c r="E114" i="4"/>
  <c r="G113" i="4"/>
  <c r="E115" i="4"/>
  <c r="D84" i="5" s="1"/>
  <c r="D50" i="10" s="1"/>
  <c r="B83" i="4"/>
  <c r="F108" i="4"/>
  <c r="E106" i="4"/>
  <c r="B88" i="4"/>
  <c r="B75" i="4"/>
  <c r="F73" i="4"/>
  <c r="H77" i="4"/>
  <c r="F72" i="4"/>
  <c r="G74" i="4"/>
  <c r="E64" i="4"/>
  <c r="C61" i="4"/>
  <c r="C49" i="4"/>
  <c r="B169" i="5" s="1"/>
  <c r="D71" i="4"/>
  <c r="C72" i="4"/>
  <c r="B44" i="10" s="1"/>
  <c r="F77" i="4"/>
  <c r="F76" i="4"/>
  <c r="C76" i="4"/>
  <c r="C71" i="4"/>
  <c r="D77" i="4"/>
  <c r="E73" i="4"/>
  <c r="F44" i="10" s="1"/>
  <c r="H71" i="4"/>
  <c r="H75" i="4"/>
  <c r="C59" i="4"/>
  <c r="O14" i="10" s="1"/>
  <c r="B57" i="4"/>
  <c r="G60" i="4"/>
  <c r="D64" i="4"/>
  <c r="D59" i="4"/>
  <c r="G66" i="4"/>
  <c r="H59" i="4"/>
  <c r="F29" i="10" s="1"/>
  <c r="E62" i="4"/>
  <c r="E155" i="5" s="1"/>
  <c r="E61" i="4"/>
  <c r="G64" i="4"/>
  <c r="G57" i="4"/>
  <c r="B66" i="4"/>
  <c r="H57" i="4"/>
  <c r="E140" i="5" s="1"/>
  <c r="C44" i="4"/>
  <c r="H72" i="4"/>
  <c r="E77" i="4"/>
  <c r="D74" i="4"/>
  <c r="G75" i="4"/>
  <c r="C73" i="4"/>
  <c r="E44" i="10" s="1"/>
  <c r="B76" i="4"/>
  <c r="E74" i="4"/>
  <c r="B73" i="4"/>
  <c r="D76" i="4"/>
  <c r="C75" i="4"/>
  <c r="G77" i="4"/>
  <c r="D78" i="4"/>
  <c r="D63" i="4"/>
  <c r="F66" i="4"/>
  <c r="H68" i="4"/>
  <c r="B64" i="4"/>
  <c r="E67" i="4"/>
  <c r="H65" i="4"/>
  <c r="E68" i="4"/>
  <c r="F61" i="4"/>
  <c r="H67" i="4"/>
  <c r="D58" i="4"/>
  <c r="G62" i="4"/>
  <c r="E75" i="4"/>
  <c r="C74" i="4"/>
  <c r="C78" i="4"/>
  <c r="G76" i="4"/>
  <c r="B62" i="4"/>
  <c r="F59" i="4"/>
  <c r="H64" i="4"/>
  <c r="F38" i="10" s="1"/>
  <c r="E60" i="4"/>
  <c r="F33" i="10" s="1"/>
  <c r="F68" i="4"/>
  <c r="D65" i="4"/>
  <c r="F63" i="4"/>
  <c r="C67" i="4"/>
  <c r="G61" i="4"/>
  <c r="B68" i="4"/>
  <c r="G78" i="4"/>
  <c r="E71" i="4"/>
  <c r="D72" i="4"/>
  <c r="E72" i="4"/>
  <c r="F78" i="4"/>
  <c r="H76" i="4"/>
  <c r="G72" i="4"/>
  <c r="C57" i="4"/>
  <c r="G58" i="4"/>
  <c r="B61" i="4"/>
  <c r="F67" i="4"/>
  <c r="H66" i="4"/>
  <c r="F39" i="10" s="1"/>
  <c r="D67" i="4"/>
  <c r="E66" i="4"/>
  <c r="F62" i="4"/>
  <c r="C58" i="4"/>
  <c r="A211" i="5" s="1"/>
  <c r="H62" i="4"/>
  <c r="B65" i="4"/>
  <c r="F52" i="4"/>
  <c r="D50" i="4"/>
  <c r="C99" i="5"/>
  <c r="B99" i="5"/>
  <c r="B387" i="5"/>
  <c r="B110" i="5"/>
  <c r="H45" i="4"/>
  <c r="E178" i="5" s="1"/>
  <c r="G51" i="4"/>
  <c r="G104" i="4"/>
  <c r="F45" i="4"/>
  <c r="F44" i="4"/>
  <c r="E48" i="4"/>
  <c r="C13" i="25" s="1"/>
  <c r="E42" i="4"/>
  <c r="P34" i="10" s="1"/>
  <c r="C51" i="4"/>
  <c r="J58" i="10" s="1"/>
  <c r="C42" i="4"/>
  <c r="E168" i="5" s="1"/>
  <c r="B45" i="4"/>
  <c r="B51" i="4"/>
  <c r="B42" i="4"/>
  <c r="C46" i="4"/>
  <c r="D89" i="5" s="1"/>
  <c r="C89" i="5" s="1"/>
  <c r="B89" i="5" s="1"/>
  <c r="H44" i="4"/>
  <c r="G40" i="4"/>
  <c r="F50" i="4"/>
  <c r="E52" i="4"/>
  <c r="B44" i="4"/>
  <c r="C41" i="4"/>
  <c r="A206" i="5" s="1"/>
  <c r="C48" i="4"/>
  <c r="C37" i="10" s="1"/>
  <c r="C36" i="10" s="1"/>
  <c r="B40" i="4"/>
  <c r="D40" i="4"/>
  <c r="H41" i="4"/>
  <c r="G140" i="5" s="1"/>
  <c r="G43" i="4"/>
  <c r="F40" i="4"/>
  <c r="E50" i="4"/>
  <c r="D45" i="4"/>
  <c r="B46" i="4"/>
  <c r="B50" i="4"/>
  <c r="D44" i="4"/>
  <c r="C45" i="4"/>
  <c r="B41" i="4"/>
  <c r="H49" i="4"/>
  <c r="G45" i="4"/>
  <c r="G44" i="4"/>
  <c r="F41" i="4"/>
  <c r="E46" i="4"/>
  <c r="D46" i="4"/>
  <c r="B47" i="4"/>
  <c r="D42" i="4"/>
  <c r="D49" i="4"/>
  <c r="D52" i="4"/>
  <c r="H52" i="4"/>
  <c r="H51" i="4"/>
  <c r="C39" i="10" s="1"/>
  <c r="G50" i="4"/>
  <c r="G48" i="4"/>
  <c r="F49" i="4"/>
  <c r="F43" i="4"/>
  <c r="F51" i="4"/>
  <c r="E40" i="4"/>
  <c r="D48" i="4"/>
  <c r="D51" i="4"/>
  <c r="D43" i="4"/>
  <c r="B52" i="4"/>
  <c r="C43" i="4"/>
  <c r="C30" i="10" s="1"/>
  <c r="H40" i="4"/>
  <c r="H47" i="4"/>
  <c r="G49" i="4"/>
  <c r="G47" i="4"/>
  <c r="F48" i="4"/>
  <c r="F42" i="4"/>
  <c r="E49" i="4"/>
  <c r="C14" i="25" s="1"/>
  <c r="E51" i="4"/>
  <c r="E41" i="4"/>
  <c r="B140" i="5" s="1"/>
  <c r="C50" i="4"/>
  <c r="C52" i="4"/>
  <c r="E44" i="4"/>
  <c r="D47" i="4"/>
  <c r="B29" i="4"/>
  <c r="B38" i="4"/>
  <c r="H31" i="4"/>
  <c r="G192" i="5" s="1"/>
  <c r="H48" i="4"/>
  <c r="C38" i="10" s="1"/>
  <c r="H42" i="4"/>
  <c r="C206" i="5" s="1"/>
  <c r="G42" i="4"/>
  <c r="G41" i="4"/>
  <c r="F47" i="4"/>
  <c r="F46" i="4"/>
  <c r="E47" i="4"/>
  <c r="E43" i="4"/>
  <c r="P36" i="10" s="1"/>
  <c r="B43" i="4"/>
  <c r="C40" i="4"/>
  <c r="D41" i="4"/>
  <c r="C47" i="4"/>
  <c r="B48" i="4"/>
  <c r="G28" i="4"/>
  <c r="H189" i="5" s="1"/>
  <c r="B100" i="4"/>
  <c r="C106" i="4"/>
  <c r="D20" i="4"/>
  <c r="E19" i="4"/>
  <c r="B77" i="5" s="1"/>
  <c r="F311" i="5" s="1"/>
  <c r="F42" i="10" s="1"/>
  <c r="F17" i="4"/>
  <c r="B135" i="5" s="1"/>
  <c r="D16" i="4"/>
  <c r="E17" i="4"/>
  <c r="D18" i="4"/>
  <c r="F119" i="4"/>
  <c r="C116" i="4"/>
  <c r="H119" i="4"/>
  <c r="F100" i="4"/>
  <c r="D99" i="4"/>
  <c r="C98" i="4"/>
  <c r="G97" i="4"/>
  <c r="F105" i="4"/>
  <c r="E93" i="4"/>
  <c r="C182" i="5" s="1"/>
  <c r="B182" i="5" s="1"/>
  <c r="B107" i="4"/>
  <c r="B105" i="4"/>
  <c r="C110" i="4"/>
  <c r="C103" i="4"/>
  <c r="B92" i="4"/>
  <c r="C91" i="4"/>
  <c r="C85" i="4"/>
  <c r="G84" i="5" s="1"/>
  <c r="B84" i="5" s="1"/>
  <c r="D91" i="5" s="1"/>
  <c r="G27" i="4"/>
  <c r="H188" i="5" s="1"/>
  <c r="C104" i="4"/>
  <c r="C22" i="4"/>
  <c r="F22" i="4"/>
  <c r="B16" i="4"/>
  <c r="H21" i="4"/>
  <c r="B14" i="4"/>
  <c r="H14" i="4"/>
  <c r="C17" i="4"/>
  <c r="F14" i="4"/>
  <c r="C113" i="4"/>
  <c r="C115" i="4"/>
  <c r="D85" i="5" s="1"/>
  <c r="D51" i="10" s="1"/>
  <c r="B118" i="4"/>
  <c r="G117" i="4"/>
  <c r="C99" i="4"/>
  <c r="E98" i="4"/>
  <c r="H104" i="4"/>
  <c r="G95" i="4"/>
  <c r="G107" i="4"/>
  <c r="G93" i="4"/>
  <c r="E97" i="4"/>
  <c r="F302" i="5" s="1"/>
  <c r="F107" i="4"/>
  <c r="E96" i="4"/>
  <c r="D299" i="5" s="1"/>
  <c r="E91" i="4"/>
  <c r="E110" i="4"/>
  <c r="B108" i="4"/>
  <c r="D108" i="4"/>
  <c r="C108" i="4"/>
  <c r="D93" i="4"/>
  <c r="C94" i="4"/>
  <c r="C16" i="25" s="1"/>
  <c r="H27" i="4"/>
  <c r="G188" i="5" s="1"/>
  <c r="E107" i="4"/>
  <c r="G103" i="4"/>
  <c r="G108" i="4"/>
  <c r="F109" i="4"/>
  <c r="B103" i="4"/>
  <c r="C18" i="4"/>
  <c r="F68" i="10" s="1"/>
  <c r="D19" i="4"/>
  <c r="F21" i="4"/>
  <c r="B20" i="4"/>
  <c r="F19" i="4"/>
  <c r="B22" i="4"/>
  <c r="F18" i="4"/>
  <c r="G20" i="4"/>
  <c r="H20" i="4"/>
  <c r="E49" i="5" s="1"/>
  <c r="C49" i="5" s="1"/>
  <c r="H15" i="4"/>
  <c r="C117" i="4"/>
  <c r="H117" i="4"/>
  <c r="B119" i="4"/>
  <c r="B114" i="4"/>
  <c r="G118" i="4"/>
  <c r="E116" i="4"/>
  <c r="C114" i="4"/>
  <c r="F40" i="10" s="1"/>
  <c r="G100" i="4"/>
  <c r="G98" i="4"/>
  <c r="H110" i="4"/>
  <c r="G106" i="4"/>
  <c r="G94" i="4"/>
  <c r="G91" i="4"/>
  <c r="F97" i="4"/>
  <c r="F104" i="4"/>
  <c r="F103" i="4"/>
  <c r="D96" i="4"/>
  <c r="B110" i="4"/>
  <c r="D103" i="4"/>
  <c r="B106" i="4"/>
  <c r="C92" i="4"/>
  <c r="D119" i="5" s="1"/>
  <c r="B119" i="5" s="1"/>
  <c r="H19" i="4"/>
  <c r="E53" i="5" s="1"/>
  <c r="C53" i="5" s="1"/>
  <c r="H94" i="4"/>
  <c r="C301" i="5" s="1"/>
  <c r="C20" i="4"/>
  <c r="G14" i="4"/>
  <c r="D17" i="4"/>
  <c r="G19" i="4"/>
  <c r="F15" i="4"/>
  <c r="E14" i="4"/>
  <c r="C16" i="4"/>
  <c r="D119" i="4"/>
  <c r="D114" i="4"/>
  <c r="G115" i="4"/>
  <c r="C119" i="4"/>
  <c r="F116" i="4"/>
  <c r="F118" i="4"/>
  <c r="E118" i="4"/>
  <c r="C100" i="4"/>
  <c r="H99" i="4"/>
  <c r="H98" i="4"/>
  <c r="H108" i="4"/>
  <c r="H109" i="4"/>
  <c r="G105" i="4"/>
  <c r="G109" i="4"/>
  <c r="G92" i="4"/>
  <c r="F91" i="4"/>
  <c r="B96" i="4"/>
  <c r="D95" i="4"/>
  <c r="B104" i="4"/>
  <c r="D104" i="4"/>
  <c r="C109" i="4"/>
  <c r="C107" i="4"/>
  <c r="B94" i="4"/>
  <c r="B93" i="4"/>
  <c r="B19" i="4"/>
  <c r="C62" i="5" s="1"/>
  <c r="B18" i="4"/>
  <c r="D46" i="5" s="1"/>
  <c r="G99" i="4"/>
  <c r="D98" i="4"/>
  <c r="H92" i="4"/>
  <c r="F110" i="4"/>
  <c r="B109" i="4"/>
  <c r="B15" i="4"/>
  <c r="E22" i="4"/>
  <c r="G17" i="4"/>
  <c r="C135" i="5" s="1"/>
  <c r="G15" i="4"/>
  <c r="D22" i="4"/>
  <c r="F16" i="4"/>
  <c r="D14" i="4"/>
  <c r="C14" i="4"/>
  <c r="G22" i="4"/>
  <c r="D117" i="4"/>
  <c r="G116" i="4"/>
  <c r="D113" i="4"/>
  <c r="F114" i="4"/>
  <c r="G119" i="4"/>
  <c r="D115" i="4"/>
  <c r="H116" i="4"/>
  <c r="D116" i="4"/>
  <c r="F113" i="4"/>
  <c r="D100" i="4"/>
  <c r="B99" i="4"/>
  <c r="H107" i="4"/>
  <c r="D97" i="4"/>
  <c r="F106" i="4"/>
  <c r="G96" i="4"/>
  <c r="F95" i="4"/>
  <c r="E104" i="4"/>
  <c r="E108" i="4"/>
  <c r="B113" i="4"/>
  <c r="D110" i="4"/>
  <c r="D107" i="4"/>
  <c r="D106" i="4"/>
  <c r="D91" i="4"/>
  <c r="G32" i="4"/>
  <c r="H193" i="5" s="1"/>
  <c r="E92" i="4"/>
  <c r="D229" i="5" s="1"/>
  <c r="E105" i="4"/>
  <c r="D109" i="4"/>
  <c r="H95" i="4"/>
  <c r="C278" i="5" s="1"/>
  <c r="F96" i="4"/>
  <c r="H18" i="4"/>
  <c r="E15" i="4"/>
  <c r="G18" i="4"/>
  <c r="C15" i="4"/>
  <c r="G16" i="4"/>
  <c r="E18" i="4"/>
  <c r="D60" i="5" s="1"/>
  <c r="G21" i="4"/>
  <c r="B115" i="4"/>
  <c r="G114" i="4"/>
  <c r="E113" i="4"/>
  <c r="F117" i="4"/>
  <c r="C118" i="4"/>
  <c r="H113" i="4"/>
  <c r="F115" i="4"/>
  <c r="H118" i="4"/>
  <c r="H100" i="4"/>
  <c r="F99" i="4"/>
  <c r="B98" i="4"/>
  <c r="H105" i="4"/>
  <c r="H103" i="4"/>
  <c r="H93" i="4"/>
  <c r="G110" i="4"/>
  <c r="B97" i="4"/>
  <c r="B95" i="4"/>
  <c r="E103" i="4"/>
  <c r="E109" i="4"/>
  <c r="D105" i="4"/>
  <c r="B91" i="4"/>
  <c r="G31" i="4"/>
  <c r="H192" i="5" s="1"/>
  <c r="D94" i="4"/>
  <c r="F37" i="5" s="1"/>
  <c r="E37" i="5" s="1"/>
  <c r="G189" i="5"/>
  <c r="F189" i="5" s="1"/>
  <c r="I189" i="5"/>
  <c r="C215" i="5"/>
  <c r="C209" i="5"/>
  <c r="G48" i="10" s="1"/>
  <c r="G30" i="4"/>
  <c r="H191" i="5" s="1"/>
  <c r="G26" i="4"/>
  <c r="H187" i="5" s="1"/>
  <c r="D92" i="4"/>
  <c r="F38" i="5" s="1"/>
  <c r="E38" i="5" s="1"/>
  <c r="H60" i="4"/>
  <c r="C213" i="5" s="1"/>
  <c r="G49" i="10" s="1"/>
  <c r="H30" i="4"/>
  <c r="G191" i="5" s="1"/>
  <c r="F191" i="5" s="1"/>
  <c r="H26" i="4"/>
  <c r="G187" i="5" s="1"/>
  <c r="F187" i="5" s="1"/>
  <c r="C93" i="4"/>
  <c r="D228" i="5" s="1"/>
  <c r="F25" i="4"/>
  <c r="D186" i="5" s="1"/>
  <c r="G29" i="4"/>
  <c r="H190" i="5" s="1"/>
  <c r="G25" i="4"/>
  <c r="H186" i="5" s="1"/>
  <c r="C96" i="4"/>
  <c r="D225" i="5" s="1"/>
  <c r="B225" i="5" s="1"/>
  <c r="H74" i="4"/>
  <c r="H29" i="4"/>
  <c r="H25" i="4"/>
  <c r="E94" i="4"/>
  <c r="D233" i="5" s="1"/>
  <c r="H32" i="4"/>
  <c r="H97" i="4"/>
  <c r="D94" i="5" s="1"/>
  <c r="B209" i="5"/>
  <c r="C30" i="25"/>
  <c r="E58" i="10"/>
  <c r="C28" i="25"/>
  <c r="E57" i="10"/>
  <c r="D215" i="5"/>
  <c r="B229" i="5" l="1"/>
  <c r="C11" i="25"/>
  <c r="D76" i="5"/>
  <c r="Q37" i="10"/>
  <c r="B78" i="10"/>
  <c r="D192" i="5"/>
  <c r="A192" i="5" s="1"/>
  <c r="M192" i="5" s="1"/>
  <c r="Q35" i="10"/>
  <c r="D58" i="10"/>
  <c r="E39" i="6"/>
  <c r="E14" i="6"/>
  <c r="J14" i="6" s="1"/>
  <c r="D154" i="5"/>
  <c r="G54" i="10" s="1"/>
  <c r="E179" i="5"/>
  <c r="D179" i="5" s="1"/>
  <c r="B179" i="5" s="1"/>
  <c r="D189" i="5"/>
  <c r="A189" i="5" s="1"/>
  <c r="M189" i="5" s="1"/>
  <c r="C141" i="5"/>
  <c r="B141" i="5" s="1"/>
  <c r="C6" i="10" s="1"/>
  <c r="D158" i="5"/>
  <c r="F211" i="5"/>
  <c r="E211" i="5" s="1"/>
  <c r="C173" i="5" s="1"/>
  <c r="E187" i="5"/>
  <c r="A187" i="5" s="1"/>
  <c r="M187" i="5" s="1"/>
  <c r="D173" i="5"/>
  <c r="G211" i="5"/>
  <c r="I27" i="10" s="1"/>
  <c r="N188" i="5"/>
  <c r="E190" i="5"/>
  <c r="A190" i="5" s="1"/>
  <c r="M190" i="5" s="1"/>
  <c r="C88" i="5"/>
  <c r="B88" i="5" s="1"/>
  <c r="F15" i="10"/>
  <c r="B143" i="5"/>
  <c r="F274" i="5" s="1"/>
  <c r="B174" i="5"/>
  <c r="B459" i="5" s="1"/>
  <c r="C462" i="5" s="1"/>
  <c r="E194" i="5"/>
  <c r="A194" i="5" s="1"/>
  <c r="M194" i="5" s="1"/>
  <c r="D188" i="5"/>
  <c r="A188" i="5" s="1"/>
  <c r="M188" i="5" s="1"/>
  <c r="F37" i="10"/>
  <c r="F36" i="10" s="1"/>
  <c r="C40" i="10"/>
  <c r="E193" i="5"/>
  <c r="A193" i="5" s="1"/>
  <c r="M193" i="5" s="1"/>
  <c r="G194" i="5"/>
  <c r="J194" i="5" s="1"/>
  <c r="C194" i="5" s="1"/>
  <c r="D191" i="5"/>
  <c r="A191" i="5" s="1"/>
  <c r="M191" i="5" s="1"/>
  <c r="B5" i="10"/>
  <c r="D53" i="10"/>
  <c r="E206" i="5"/>
  <c r="D206" i="5" s="1"/>
  <c r="C167" i="5" s="1"/>
  <c r="C154" i="5"/>
  <c r="B154" i="5" s="1"/>
  <c r="C31" i="10"/>
  <c r="P14" i="10"/>
  <c r="N14" i="10" s="1"/>
  <c r="F14" i="10" s="1"/>
  <c r="C178" i="5"/>
  <c r="E207" i="5"/>
  <c r="C207" i="5" s="1"/>
  <c r="G55" i="10"/>
  <c r="H140" i="5"/>
  <c r="C140" i="5" s="1"/>
  <c r="C17" i="10" s="1"/>
  <c r="D148" i="5"/>
  <c r="G53" i="10" s="1"/>
  <c r="D178" i="5"/>
  <c r="D168" i="5"/>
  <c r="D167" i="5"/>
  <c r="D207" i="5"/>
  <c r="C168" i="5"/>
  <c r="E148" i="5"/>
  <c r="C148" i="5" s="1"/>
  <c r="B148" i="5" s="1"/>
  <c r="K47" i="10"/>
  <c r="J47" i="10" s="1"/>
  <c r="P38" i="10"/>
  <c r="N42" i="6"/>
  <c r="A168" i="5"/>
  <c r="B443" i="5" s="1"/>
  <c r="G217" i="5"/>
  <c r="E217" i="5" s="1"/>
  <c r="H217" i="5"/>
  <c r="C32" i="10"/>
  <c r="A167" i="5"/>
  <c r="B166" i="5" s="1"/>
  <c r="A171" i="5" s="1"/>
  <c r="C27" i="25"/>
  <c r="C17" i="25" s="1"/>
  <c r="B145" i="5"/>
  <c r="B189" i="5"/>
  <c r="C101" i="5"/>
  <c r="D53" i="5"/>
  <c r="B53" i="5" s="1"/>
  <c r="K48" i="5" s="1"/>
  <c r="F15" i="25"/>
  <c r="A312" i="5"/>
  <c r="D349" i="5" s="1" a="1"/>
  <c r="D349" i="5" s="1"/>
  <c r="E85" i="5"/>
  <c r="F12" i="10"/>
  <c r="C57" i="5"/>
  <c r="D77" i="5"/>
  <c r="F11" i="25"/>
  <c r="B220" i="5"/>
  <c r="D49" i="5"/>
  <c r="B49" i="5" s="1"/>
  <c r="B50" i="5" s="1"/>
  <c r="C46" i="5"/>
  <c r="B46" i="5" s="1"/>
  <c r="I133" i="5"/>
  <c r="I134" i="5" s="1"/>
  <c r="B442" i="5"/>
  <c r="C51" i="5"/>
  <c r="B51" i="5" s="1"/>
  <c r="I192" i="5"/>
  <c r="J192" i="5" s="1"/>
  <c r="C192" i="5" s="1"/>
  <c r="F140" i="5"/>
  <c r="B94" i="5"/>
  <c r="B295" i="5" s="1"/>
  <c r="C295" i="5" s="1"/>
  <c r="C29" i="25"/>
  <c r="P37" i="10"/>
  <c r="F192" i="5"/>
  <c r="B192" i="5" s="1"/>
  <c r="P35" i="10"/>
  <c r="D140" i="5"/>
  <c r="C94" i="5"/>
  <c r="B95" i="5" s="1"/>
  <c r="D268" i="5" s="1"/>
  <c r="C258" i="5" s="1"/>
  <c r="A173" i="5"/>
  <c r="B172" i="5" s="1"/>
  <c r="F35" i="10"/>
  <c r="E133" i="5"/>
  <c r="D133" i="5" s="1"/>
  <c r="C83" i="5"/>
  <c r="F83" i="5" s="1"/>
  <c r="D55" i="10" s="1"/>
  <c r="G56" i="10"/>
  <c r="C299" i="5"/>
  <c r="B300" i="5" s="1"/>
  <c r="D118" i="5"/>
  <c r="B118" i="5" s="1"/>
  <c r="B65" i="5"/>
  <c r="C33" i="25" s="1"/>
  <c r="B301" i="5"/>
  <c r="C63" i="10" s="1"/>
  <c r="A52" i="5"/>
  <c r="E47" i="5" s="1"/>
  <c r="B37" i="5"/>
  <c r="A279" i="5"/>
  <c r="E62" i="5"/>
  <c r="F58" i="5"/>
  <c r="C58" i="5" s="1"/>
  <c r="E302" i="5"/>
  <c r="D62" i="5"/>
  <c r="B63" i="5" s="1"/>
  <c r="D70" i="10" s="1"/>
  <c r="D302" i="5"/>
  <c r="C302" i="5" s="1"/>
  <c r="B302" i="5" s="1"/>
  <c r="C60" i="5"/>
  <c r="C61" i="5" s="1"/>
  <c r="B61" i="5" s="1"/>
  <c r="D57" i="5" s="1"/>
  <c r="D57" i="10"/>
  <c r="I187" i="5"/>
  <c r="J187" i="5" s="1"/>
  <c r="C187" i="5" s="1"/>
  <c r="D48" i="5"/>
  <c r="C48" i="5"/>
  <c r="F188" i="5"/>
  <c r="B188" i="5" s="1"/>
  <c r="G85" i="5"/>
  <c r="B85" i="5" s="1"/>
  <c r="E91" i="5" s="1"/>
  <c r="B299" i="5"/>
  <c r="I188" i="5"/>
  <c r="J188" i="5" s="1"/>
  <c r="C188" i="5" s="1"/>
  <c r="B38" i="5"/>
  <c r="B215" i="5"/>
  <c r="B217" i="5" s="1"/>
  <c r="E186" i="5"/>
  <c r="A186" i="5" s="1"/>
  <c r="E6" i="10" s="1"/>
  <c r="B228" i="5"/>
  <c r="B191" i="5"/>
  <c r="B187" i="5"/>
  <c r="J189" i="5"/>
  <c r="C189" i="5" s="1"/>
  <c r="E225" i="5"/>
  <c r="B226" i="5" s="1"/>
  <c r="E94" i="5"/>
  <c r="D260" i="5"/>
  <c r="E260" i="5" s="1"/>
  <c r="C260" i="5"/>
  <c r="H260" i="5" s="1"/>
  <c r="G193" i="5"/>
  <c r="I193" i="5"/>
  <c r="I191" i="5"/>
  <c r="J191" i="5" s="1"/>
  <c r="C191" i="5" s="1"/>
  <c r="C233" i="5"/>
  <c r="B233" i="5" s="1"/>
  <c r="C234" i="5"/>
  <c r="B234" i="5" s="1"/>
  <c r="G186" i="5"/>
  <c r="I186" i="5"/>
  <c r="G190" i="5"/>
  <c r="F190" i="5" s="1"/>
  <c r="B190" i="5" s="1"/>
  <c r="I190" i="5"/>
  <c r="B144" i="5"/>
  <c r="D270" i="5" s="1"/>
  <c r="E144" i="5"/>
  <c r="C144" i="5"/>
  <c r="D144" i="5" s="1"/>
  <c r="C98" i="5" l="1"/>
  <c r="A176" i="5"/>
  <c r="C155" i="5"/>
  <c r="C156" i="5"/>
  <c r="I14" i="6"/>
  <c r="F34" i="10"/>
  <c r="G14" i="6"/>
  <c r="N189" i="5"/>
  <c r="G50" i="10"/>
  <c r="G51" i="10" s="1"/>
  <c r="F266" i="5"/>
  <c r="E41" i="6"/>
  <c r="B41" i="6" s="1"/>
  <c r="E48" i="6"/>
  <c r="I48" i="6" s="1"/>
  <c r="E50" i="6"/>
  <c r="I50" i="6" s="1"/>
  <c r="E42" i="6"/>
  <c r="G42" i="6" s="1"/>
  <c r="E11" i="6"/>
  <c r="I11" i="6" s="1"/>
  <c r="E43" i="6"/>
  <c r="C43" i="6" s="1"/>
  <c r="E45" i="6"/>
  <c r="B45" i="6" s="1"/>
  <c r="E46" i="6"/>
  <c r="B46" i="6" s="1"/>
  <c r="G39" i="6"/>
  <c r="I39" i="6"/>
  <c r="B173" i="5"/>
  <c r="B211" i="5"/>
  <c r="D211" i="5"/>
  <c r="B212" i="5" s="1"/>
  <c r="D274" i="5"/>
  <c r="B207" i="5"/>
  <c r="A207" i="5" s="1"/>
  <c r="D467" i="5"/>
  <c r="C465" i="5"/>
  <c r="C464" i="5"/>
  <c r="E468" i="5"/>
  <c r="D465" i="5"/>
  <c r="D468" i="5"/>
  <c r="C466" i="5"/>
  <c r="F275" i="5"/>
  <c r="D470" i="5"/>
  <c r="C467" i="5"/>
  <c r="C468" i="5"/>
  <c r="D469" i="5"/>
  <c r="C470" i="5"/>
  <c r="D466" i="5"/>
  <c r="E469" i="5"/>
  <c r="E470" i="5"/>
  <c r="C469" i="5"/>
  <c r="C463" i="5"/>
  <c r="A175" i="5"/>
  <c r="E7" i="10"/>
  <c r="F194" i="5"/>
  <c r="B194" i="5" s="1"/>
  <c r="B206" i="5"/>
  <c r="C149" i="5"/>
  <c r="B149" i="5" s="1"/>
  <c r="B168" i="5"/>
  <c r="B294" i="5"/>
  <c r="C294" i="5" s="1"/>
  <c r="D294" i="5" s="1"/>
  <c r="F217" i="5"/>
  <c r="D217" i="5" s="1"/>
  <c r="A219" i="5" s="1"/>
  <c r="C15" i="6" s="1"/>
  <c r="B178" i="5"/>
  <c r="B180" i="5" s="1"/>
  <c r="B167" i="5"/>
  <c r="B171" i="5" s="1"/>
  <c r="C19" i="6" s="1"/>
  <c r="A91" i="5"/>
  <c r="K85" i="5" s="1"/>
  <c r="J85" i="5" s="1"/>
  <c r="C29" i="10"/>
  <c r="B54" i="5"/>
  <c r="F10" i="25" s="1"/>
  <c r="B292" i="5"/>
  <c r="C292" i="5" s="1"/>
  <c r="D292" i="5" s="1"/>
  <c r="E292" i="5" s="1"/>
  <c r="C272" i="5"/>
  <c r="B104" i="5" s="1"/>
  <c r="B260" i="5"/>
  <c r="M260" i="5" s="1"/>
  <c r="C229" i="5" s="1"/>
  <c r="F436" i="5" a="1"/>
  <c r="F436" i="5" s="1"/>
  <c r="D437" i="5" s="1"/>
  <c r="D439" i="5" s="1"/>
  <c r="B266" i="5"/>
  <c r="G266" i="5" s="1"/>
  <c r="B296" i="5"/>
  <c r="C296" i="5" s="1"/>
  <c r="C267" i="5"/>
  <c r="D267" i="5" s="1"/>
  <c r="D258" i="5" s="1"/>
  <c r="C18" i="25"/>
  <c r="B270" i="5"/>
  <c r="F270" i="5"/>
  <c r="E272" i="5"/>
  <c r="F269" i="5"/>
  <c r="D275" i="5"/>
  <c r="A366" i="5"/>
  <c r="B262" i="5"/>
  <c r="B259" i="5" s="1"/>
  <c r="B267" i="5"/>
  <c r="C312" i="5" a="1"/>
  <c r="C312" i="5" s="1"/>
  <c r="D48" i="10"/>
  <c r="E48" i="10" s="1"/>
  <c r="C271" i="5"/>
  <c r="G272" i="5"/>
  <c r="B61" i="10"/>
  <c r="B275" i="5"/>
  <c r="C270" i="5"/>
  <c r="C160" i="5"/>
  <c r="C268" i="5"/>
  <c r="D5" i="25"/>
  <c r="B268" i="5"/>
  <c r="G59" i="10"/>
  <c r="B297" i="5"/>
  <c r="C297" i="5" s="1"/>
  <c r="A349" i="5"/>
  <c r="C275" i="5"/>
  <c r="C274" i="5" s="1"/>
  <c r="B269" i="5"/>
  <c r="D272" i="5"/>
  <c r="F265" i="5"/>
  <c r="B258" i="5"/>
  <c r="B273" i="5"/>
  <c r="E273" i="5" s="1"/>
  <c r="F273" i="5" s="1"/>
  <c r="B133" i="5"/>
  <c r="F11" i="8"/>
  <c r="B265" i="5"/>
  <c r="G265" i="5" s="1"/>
  <c r="H53" i="5"/>
  <c r="H54" i="5" s="1"/>
  <c r="C269" i="5"/>
  <c r="B271" i="5"/>
  <c r="F18" i="10"/>
  <c r="B460" i="5"/>
  <c r="F462" i="5" s="1"/>
  <c r="B57" i="5"/>
  <c r="C290" i="5"/>
  <c r="D290" i="5" s="1"/>
  <c r="E290" i="5" s="1"/>
  <c r="D273" i="5"/>
  <c r="A241" i="5" s="1"/>
  <c r="F61" i="10"/>
  <c r="C25" i="10"/>
  <c r="B291" i="5"/>
  <c r="C291" i="5" s="1"/>
  <c r="D291" i="5" s="1"/>
  <c r="B293" i="5"/>
  <c r="C293" i="5" s="1"/>
  <c r="C159" i="5"/>
  <c r="B96" i="5"/>
  <c r="C20" i="25" s="1"/>
  <c r="C19" i="25"/>
  <c r="E306" i="5"/>
  <c r="B445" i="5"/>
  <c r="C34" i="10"/>
  <c r="E58" i="5"/>
  <c r="D58" i="5" s="1"/>
  <c r="B59" i="5" s="1"/>
  <c r="E70" i="10"/>
  <c r="A155" i="5"/>
  <c r="B278" i="5"/>
  <c r="F62" i="10" s="1"/>
  <c r="D47" i="5"/>
  <c r="D6" i="25"/>
  <c r="D262" i="5"/>
  <c r="F262" i="5" s="1"/>
  <c r="C47" i="5"/>
  <c r="F17" i="10"/>
  <c r="A156" i="5"/>
  <c r="A151" i="5"/>
  <c r="A149" i="5"/>
  <c r="C16" i="6" s="1"/>
  <c r="A163" i="5"/>
  <c r="A164" i="5"/>
  <c r="A150" i="5"/>
  <c r="C133" i="5"/>
  <c r="B134" i="5" s="1"/>
  <c r="A162" i="5"/>
  <c r="C21" i="25"/>
  <c r="C66" i="5"/>
  <c r="C64" i="5"/>
  <c r="D71" i="10" s="1"/>
  <c r="L47" i="10" s="1"/>
  <c r="B69" i="10"/>
  <c r="B60" i="5"/>
  <c r="H14" i="8"/>
  <c r="F14" i="8" s="1"/>
  <c r="B279" i="5"/>
  <c r="C279" i="5" s="1"/>
  <c r="B78" i="5"/>
  <c r="B79" i="5" s="1"/>
  <c r="H22" i="8" s="1"/>
  <c r="F22" i="8" s="1"/>
  <c r="B48" i="5"/>
  <c r="B331" i="5" s="1"/>
  <c r="B274" i="5"/>
  <c r="M186" i="5"/>
  <c r="N191" i="5" s="1"/>
  <c r="K187" i="5" s="1"/>
  <c r="B98" i="5"/>
  <c r="F107" i="5"/>
  <c r="I260" i="5"/>
  <c r="J260" i="5" s="1"/>
  <c r="E15" i="6"/>
  <c r="I15" i="6" s="1"/>
  <c r="K49" i="5"/>
  <c r="K47" i="5"/>
  <c r="F260" i="5"/>
  <c r="G260" i="5" s="1"/>
  <c r="E275" i="5"/>
  <c r="B51" i="6"/>
  <c r="B235" i="5"/>
  <c r="B236" i="5" s="1"/>
  <c r="E274" i="5"/>
  <c r="J190" i="5"/>
  <c r="J193" i="5"/>
  <c r="C193" i="5" s="1"/>
  <c r="F193" i="5"/>
  <c r="B193" i="5" s="1"/>
  <c r="F186" i="5"/>
  <c r="B186" i="5" s="1"/>
  <c r="J186" i="5"/>
  <c r="G44" i="10"/>
  <c r="M47" i="10"/>
  <c r="D295" i="5"/>
  <c r="E295" i="5" s="1"/>
  <c r="C11" i="10"/>
  <c r="C10" i="25"/>
  <c r="A331" i="5"/>
  <c r="F258" i="5"/>
  <c r="H258" i="5"/>
  <c r="C21" i="10" l="1"/>
  <c r="A160" i="5"/>
  <c r="C262" i="5"/>
  <c r="E262" i="5" s="1"/>
  <c r="G262" i="5" s="1"/>
  <c r="L262" i="5" s="1"/>
  <c r="K260" i="5"/>
  <c r="L260" i="5" s="1"/>
  <c r="G41" i="6"/>
  <c r="A213" i="5"/>
  <c r="C23" i="6" s="1"/>
  <c r="A159" i="5"/>
  <c r="C45" i="6"/>
  <c r="I41" i="6"/>
  <c r="B43" i="6"/>
  <c r="I45" i="6"/>
  <c r="G43" i="6"/>
  <c r="C41" i="6"/>
  <c r="F27" i="10"/>
  <c r="F28" i="10" s="1"/>
  <c r="G45" i="6"/>
  <c r="G48" i="6"/>
  <c r="C42" i="6"/>
  <c r="I42" i="6"/>
  <c r="B42" i="6"/>
  <c r="B48" i="6"/>
  <c r="C48" i="6"/>
  <c r="I43" i="6"/>
  <c r="G46" i="6"/>
  <c r="C46" i="6"/>
  <c r="E47" i="6"/>
  <c r="C47" i="6" s="1"/>
  <c r="C17" i="6"/>
  <c r="C24" i="6"/>
  <c r="H11" i="8"/>
  <c r="G11" i="6"/>
  <c r="C25" i="6"/>
  <c r="I46" i="6"/>
  <c r="G50" i="6"/>
  <c r="C18" i="6"/>
  <c r="B175" i="5"/>
  <c r="B160" i="5" s="1"/>
  <c r="B208" i="5"/>
  <c r="D208" i="5" s="1"/>
  <c r="B162" i="5"/>
  <c r="C151" i="5"/>
  <c r="B151" i="5" s="1"/>
  <c r="C150" i="5"/>
  <c r="B150" i="5" s="1"/>
  <c r="E16" i="6"/>
  <c r="J16" i="6" s="1"/>
  <c r="B444" i="5"/>
  <c r="C449" i="5" s="1"/>
  <c r="F449" i="5" s="1"/>
  <c r="C15" i="10"/>
  <c r="C14" i="10" s="1"/>
  <c r="C16" i="10" s="1"/>
  <c r="L91" i="5"/>
  <c r="K91" i="5"/>
  <c r="L438" i="5"/>
  <c r="E266" i="5"/>
  <c r="G267" i="5"/>
  <c r="H267" i="5" s="1"/>
  <c r="A170" i="5"/>
  <c r="B170" i="5" s="1"/>
  <c r="A242" i="5"/>
  <c r="B219" i="5"/>
  <c r="C24" i="25"/>
  <c r="F11" i="10"/>
  <c r="L48" i="5"/>
  <c r="C22" i="25"/>
  <c r="G62" i="10"/>
  <c r="G271" i="5"/>
  <c r="G268" i="5"/>
  <c r="H268" i="5" s="1"/>
  <c r="D438" i="5"/>
  <c r="G270" i="5"/>
  <c r="H270" i="5" s="1"/>
  <c r="E271" i="5"/>
  <c r="B68" i="10"/>
  <c r="E270" i="5"/>
  <c r="H272" i="5"/>
  <c r="D312" i="5" a="1"/>
  <c r="D312" i="5" s="1"/>
  <c r="A240" i="5"/>
  <c r="D296" i="5"/>
  <c r="E296" i="5" s="1"/>
  <c r="G269" i="5"/>
  <c r="B155" i="5"/>
  <c r="E265" i="5"/>
  <c r="L47" i="5"/>
  <c r="H468" i="5"/>
  <c r="G63" i="10"/>
  <c r="A243" i="5"/>
  <c r="C23" i="25"/>
  <c r="A239" i="5"/>
  <c r="L49" i="5"/>
  <c r="E269" i="5"/>
  <c r="E268" i="5"/>
  <c r="F63" i="10"/>
  <c r="B280" i="5"/>
  <c r="C65" i="10" s="1"/>
  <c r="B156" i="5"/>
  <c r="G275" i="5"/>
  <c r="E267" i="5"/>
  <c r="D265" i="5"/>
  <c r="D297" i="5"/>
  <c r="E297" i="5" s="1"/>
  <c r="G466" i="5"/>
  <c r="H469" i="5"/>
  <c r="H470" i="5"/>
  <c r="F25" i="10" s="1"/>
  <c r="F464" i="5"/>
  <c r="F467" i="5"/>
  <c r="F470" i="5"/>
  <c r="G470" i="5"/>
  <c r="F468" i="5"/>
  <c r="G469" i="5"/>
  <c r="F469" i="5"/>
  <c r="G467" i="5"/>
  <c r="G465" i="5"/>
  <c r="G468" i="5"/>
  <c r="F463" i="5"/>
  <c r="B64" i="5"/>
  <c r="C68" i="5" s="1"/>
  <c r="B68" i="5" s="1"/>
  <c r="H18" i="8" s="1"/>
  <c r="F465" i="5"/>
  <c r="G57" i="10"/>
  <c r="C34" i="25"/>
  <c r="D259" i="5"/>
  <c r="I259" i="5" s="1"/>
  <c r="B58" i="5"/>
  <c r="F466" i="5"/>
  <c r="G61" i="10"/>
  <c r="B47" i="5"/>
  <c r="G5" i="25"/>
  <c r="D279" i="5"/>
  <c r="B282" i="5" s="1"/>
  <c r="D68" i="10"/>
  <c r="C10" i="10"/>
  <c r="B281" i="5"/>
  <c r="B283" i="5" s="1"/>
  <c r="H13" i="8"/>
  <c r="F13" i="8" s="1"/>
  <c r="G6" i="25"/>
  <c r="D69" i="10"/>
  <c r="O27" i="8"/>
  <c r="O28" i="8"/>
  <c r="O26" i="8"/>
  <c r="C9" i="25"/>
  <c r="G15" i="6"/>
  <c r="G274" i="5"/>
  <c r="O23" i="8"/>
  <c r="O24" i="8"/>
  <c r="B227" i="5"/>
  <c r="B237" i="5" s="1"/>
  <c r="J15" i="6"/>
  <c r="C259" i="5"/>
  <c r="C190" i="5"/>
  <c r="G7" i="10"/>
  <c r="D4" i="10"/>
  <c r="B195" i="5"/>
  <c r="D6" i="10"/>
  <c r="C186" i="5"/>
  <c r="G6" i="10"/>
  <c r="K193" i="5"/>
  <c r="K190" i="5"/>
  <c r="D5" i="10" s="1"/>
  <c r="K192" i="5"/>
  <c r="K188" i="5"/>
  <c r="K194" i="5"/>
  <c r="K191" i="5"/>
  <c r="K189" i="5"/>
  <c r="D293" i="5"/>
  <c r="E293" i="5" s="1"/>
  <c r="O47" i="10"/>
  <c r="P47" i="10" s="1"/>
  <c r="N47" i="10"/>
  <c r="B49" i="10" s="1"/>
  <c r="B58" i="10"/>
  <c r="B59" i="10"/>
  <c r="C331" i="5" a="1"/>
  <c r="C331" i="5" s="1"/>
  <c r="F408" i="5" a="1"/>
  <c r="F408" i="5" s="1"/>
  <c r="G408" i="5" a="1"/>
  <c r="G408" i="5" s="1"/>
  <c r="F330" i="5" a="1"/>
  <c r="F330" i="5" s="1"/>
  <c r="D59" i="10"/>
  <c r="D54" i="10"/>
  <c r="E291" i="5"/>
  <c r="F291" i="5" s="1"/>
  <c r="F290" i="5"/>
  <c r="I258" i="5"/>
  <c r="J258" i="5" s="1"/>
  <c r="E258" i="5"/>
  <c r="G258" i="5" s="1"/>
  <c r="E294" i="5"/>
  <c r="M258" i="5"/>
  <c r="F64" i="10" l="1"/>
  <c r="M262" i="5"/>
  <c r="F24" i="10"/>
  <c r="C64" i="10"/>
  <c r="B159" i="5"/>
  <c r="B176" i="5" s="1"/>
  <c r="I47" i="6"/>
  <c r="G47" i="6"/>
  <c r="B47" i="6"/>
  <c r="E17" i="6"/>
  <c r="J17" i="6" s="1"/>
  <c r="E25" i="6"/>
  <c r="G25" i="6" s="1"/>
  <c r="E18" i="6"/>
  <c r="G18" i="6" s="1"/>
  <c r="E44" i="6"/>
  <c r="G44" i="6" s="1"/>
  <c r="E40" i="6"/>
  <c r="C40" i="6" s="1"/>
  <c r="C28" i="6"/>
  <c r="E19" i="6"/>
  <c r="J19" i="6" s="1"/>
  <c r="I16" i="6"/>
  <c r="C27" i="10"/>
  <c r="C28" i="10" s="1"/>
  <c r="C208" i="5"/>
  <c r="A209" i="5" s="1"/>
  <c r="C14" i="6" s="1"/>
  <c r="F23" i="10"/>
  <c r="G16" i="6"/>
  <c r="B163" i="5"/>
  <c r="C453" i="5"/>
  <c r="F453" i="5" s="1"/>
  <c r="C455" i="5"/>
  <c r="F455" i="5" s="1"/>
  <c r="C452" i="5"/>
  <c r="F452" i="5" s="1"/>
  <c r="L50" i="5"/>
  <c r="N48" i="5" s="1"/>
  <c r="E455" i="5"/>
  <c r="H455" i="5" s="1"/>
  <c r="D450" i="5"/>
  <c r="G450" i="5" s="1"/>
  <c r="C447" i="5"/>
  <c r="F447" i="5" s="1"/>
  <c r="D453" i="5"/>
  <c r="G453" i="5" s="1"/>
  <c r="C454" i="5"/>
  <c r="C448" i="5"/>
  <c r="F448" i="5" s="1"/>
  <c r="D455" i="5"/>
  <c r="G455" i="5" s="1"/>
  <c r="E453" i="5"/>
  <c r="H453" i="5" s="1"/>
  <c r="D451" i="5"/>
  <c r="G451" i="5" s="1"/>
  <c r="D454" i="5"/>
  <c r="G454" i="5" s="1"/>
  <c r="D452" i="5"/>
  <c r="G452" i="5" s="1"/>
  <c r="C24" i="10" s="1"/>
  <c r="C450" i="5"/>
  <c r="F450" i="5" s="1"/>
  <c r="E454" i="5"/>
  <c r="H454" i="5" s="1"/>
  <c r="C451" i="5"/>
  <c r="F451" i="5" s="1"/>
  <c r="M91" i="5"/>
  <c r="F296" i="5"/>
  <c r="B164" i="5"/>
  <c r="E24" i="6"/>
  <c r="J24" i="6" s="1"/>
  <c r="C26" i="6"/>
  <c r="B66" i="5"/>
  <c r="D66" i="5" s="1"/>
  <c r="D16" i="8" s="1"/>
  <c r="C349" i="5" a="1"/>
  <c r="C349" i="5" s="1"/>
  <c r="C71" i="5"/>
  <c r="B71" i="5" s="1"/>
  <c r="D71" i="5" s="1"/>
  <c r="C72" i="5"/>
  <c r="B72" i="5" s="1"/>
  <c r="D72" i="5" s="1"/>
  <c r="C67" i="5"/>
  <c r="B67" i="5" s="1"/>
  <c r="H17" i="8" s="1"/>
  <c r="C70" i="5"/>
  <c r="B70" i="5" s="1"/>
  <c r="H20" i="8" s="1"/>
  <c r="E259" i="5"/>
  <c r="M259" i="5"/>
  <c r="C104" i="5" s="1"/>
  <c r="D65" i="5"/>
  <c r="E349" i="5" s="1"/>
  <c r="C74" i="5"/>
  <c r="B74" i="5" s="1"/>
  <c r="D74" i="5" s="1"/>
  <c r="C69" i="5"/>
  <c r="B69" i="5" s="1"/>
  <c r="C73" i="5"/>
  <c r="B73" i="5" s="1"/>
  <c r="D73" i="5" s="1"/>
  <c r="C4" i="6"/>
  <c r="B312" i="5"/>
  <c r="A319" i="5" s="1"/>
  <c r="F297" i="5"/>
  <c r="F9" i="25"/>
  <c r="C34" i="6"/>
  <c r="B56" i="5"/>
  <c r="M42" i="6"/>
  <c r="L42" i="6" s="1"/>
  <c r="C51" i="6" s="1"/>
  <c r="B349" i="5"/>
  <c r="F10" i="10"/>
  <c r="E69" i="10" s="1"/>
  <c r="C20" i="6"/>
  <c r="C35" i="6"/>
  <c r="C36" i="6"/>
  <c r="F295" i="5"/>
  <c r="F108" i="5" s="1"/>
  <c r="D114" i="5" s="1"/>
  <c r="B114" i="5" s="1"/>
  <c r="G294" i="5"/>
  <c r="G291" i="5"/>
  <c r="F294" i="5"/>
  <c r="F292" i="5"/>
  <c r="F293" i="5"/>
  <c r="G292" i="5"/>
  <c r="G297" i="5"/>
  <c r="G290" i="5"/>
  <c r="G296" i="5"/>
  <c r="G295" i="5"/>
  <c r="F109" i="5" s="1"/>
  <c r="D115" i="5" s="1"/>
  <c r="B115" i="5" s="1"/>
  <c r="G293" i="5"/>
  <c r="H24" i="8"/>
  <c r="B230" i="5"/>
  <c r="H259" i="5"/>
  <c r="J259" i="5" s="1"/>
  <c r="F259" i="5"/>
  <c r="D68" i="5"/>
  <c r="A18" i="8" s="1"/>
  <c r="C273" i="5"/>
  <c r="D269" i="5"/>
  <c r="H269" i="5" s="1"/>
  <c r="D266" i="5"/>
  <c r="D271" i="5" s="1"/>
  <c r="H271" i="5" s="1"/>
  <c r="B50" i="10"/>
  <c r="B51" i="10" s="1"/>
  <c r="B52" i="10" s="1"/>
  <c r="B53" i="10" s="1"/>
  <c r="B54" i="10" s="1"/>
  <c r="B55" i="10" s="1"/>
  <c r="B56" i="10" s="1"/>
  <c r="B57" i="10" s="1"/>
  <c r="K258" i="5"/>
  <c r="L258" i="5" s="1"/>
  <c r="A336" i="5"/>
  <c r="A346" i="5"/>
  <c r="A335" i="5"/>
  <c r="A343" i="5"/>
  <c r="A344" i="5"/>
  <c r="A337" i="5"/>
  <c r="A338" i="5"/>
  <c r="A334" i="5"/>
  <c r="A345" i="5"/>
  <c r="A342" i="5"/>
  <c r="A341" i="5"/>
  <c r="A339" i="5"/>
  <c r="A340" i="5"/>
  <c r="C225" i="5"/>
  <c r="D120" i="5"/>
  <c r="B120" i="5" s="1"/>
  <c r="F127" i="5" l="1"/>
  <c r="G126" i="5"/>
  <c r="D126" i="5"/>
  <c r="C127" i="5"/>
  <c r="G127" i="5"/>
  <c r="D127" i="5"/>
  <c r="C126" i="5"/>
  <c r="F126" i="5"/>
  <c r="G71" i="6"/>
  <c r="I71" i="6"/>
  <c r="E26" i="6"/>
  <c r="J26" i="6" s="1"/>
  <c r="J25" i="6"/>
  <c r="I25" i="6"/>
  <c r="B44" i="6"/>
  <c r="G40" i="6"/>
  <c r="C44" i="6"/>
  <c r="I40" i="6"/>
  <c r="I19" i="6"/>
  <c r="I44" i="6"/>
  <c r="B40" i="6"/>
  <c r="I17" i="6"/>
  <c r="G19" i="6"/>
  <c r="I18" i="6"/>
  <c r="G17" i="6"/>
  <c r="J18" i="6"/>
  <c r="C27" i="6"/>
  <c r="B83" i="5"/>
  <c r="B91" i="5" s="1"/>
  <c r="C91" i="5" s="1"/>
  <c r="J91" i="5" s="1"/>
  <c r="N91" i="5" s="1"/>
  <c r="C35" i="10"/>
  <c r="A318" i="5"/>
  <c r="H16" i="8"/>
  <c r="F454" i="5"/>
  <c r="N49" i="5"/>
  <c r="N47" i="5"/>
  <c r="C23" i="10"/>
  <c r="G24" i="6"/>
  <c r="I24" i="6"/>
  <c r="F26" i="25"/>
  <c r="C26" i="25"/>
  <c r="A320" i="5"/>
  <c r="A324" i="5"/>
  <c r="A321" i="5"/>
  <c r="C227" i="5"/>
  <c r="K50" i="5"/>
  <c r="M47" i="5" s="1"/>
  <c r="D67" i="5"/>
  <c r="A17" i="8" s="1"/>
  <c r="A323" i="5"/>
  <c r="H19" i="8"/>
  <c r="D69" i="5"/>
  <c r="A19" i="8" s="1"/>
  <c r="G259" i="5"/>
  <c r="K259" i="5" s="1"/>
  <c r="L259" i="5" s="1"/>
  <c r="D70" i="5"/>
  <c r="A20" i="8" s="1"/>
  <c r="A327" i="5"/>
  <c r="A328" i="5"/>
  <c r="A326" i="5"/>
  <c r="A316" i="5"/>
  <c r="A322" i="5"/>
  <c r="A325" i="5"/>
  <c r="A357" i="5"/>
  <c r="A244" i="5"/>
  <c r="B244" i="5"/>
  <c r="G273" i="5"/>
  <c r="H273" i="5" s="1"/>
  <c r="C228" i="5" s="1"/>
  <c r="A353" i="5"/>
  <c r="A359" i="5"/>
  <c r="A358" i="5"/>
  <c r="A355" i="5"/>
  <c r="A352" i="5"/>
  <c r="A360" i="5"/>
  <c r="A361" i="5"/>
  <c r="A354" i="5"/>
  <c r="A356" i="5"/>
  <c r="B330" i="5"/>
  <c r="D330" i="5"/>
  <c r="B102" i="5" s="1"/>
  <c r="D116" i="5" s="1"/>
  <c r="B116" i="5" s="1"/>
  <c r="E330" i="5"/>
  <c r="C102" i="5" s="1"/>
  <c r="D117" i="5" s="1"/>
  <c r="B117" i="5" s="1"/>
  <c r="G26" i="6" l="1"/>
  <c r="E27" i="6"/>
  <c r="G27" i="6" s="1"/>
  <c r="I26" i="6"/>
  <c r="F32" i="10"/>
  <c r="A102" i="5"/>
  <c r="C42" i="10"/>
  <c r="C15" i="25"/>
  <c r="E31" i="6"/>
  <c r="I31" i="6" s="1"/>
  <c r="F14" i="25"/>
  <c r="C230" i="5"/>
  <c r="B231" i="5" s="1"/>
  <c r="M48" i="5"/>
  <c r="M49" i="5"/>
  <c r="B213" i="5"/>
  <c r="B348" i="5"/>
  <c r="B62" i="6" s="1"/>
  <c r="E62" i="6" s="1"/>
  <c r="F128" i="5"/>
  <c r="E128" i="5" s="1"/>
  <c r="C128" i="5"/>
  <c r="B128" i="5" s="1"/>
  <c r="I62" i="6" l="1"/>
  <c r="G62" i="6"/>
  <c r="F21" i="10"/>
  <c r="I27" i="6"/>
  <c r="J27" i="6"/>
  <c r="F31" i="10"/>
  <c r="F13" i="25"/>
  <c r="E23" i="6"/>
  <c r="I23" i="6" s="1"/>
  <c r="E33" i="6"/>
  <c r="G33" i="6" s="1"/>
  <c r="E32" i="6"/>
  <c r="G32" i="6" s="1"/>
  <c r="E51" i="6"/>
  <c r="I51" i="6" s="1"/>
  <c r="G31" i="6"/>
  <c r="C32" i="25"/>
  <c r="G143" i="6"/>
  <c r="I143" i="6" s="1"/>
  <c r="E71" i="10"/>
  <c r="I33" i="6" l="1"/>
  <c r="I32" i="6"/>
  <c r="J23" i="6"/>
  <c r="G23" i="6"/>
  <c r="G51" i="6"/>
  <c r="G142" i="6" l="1"/>
  <c r="I142" i="6" s="1"/>
  <c r="G144" i="6" l="1"/>
  <c r="I144" i="6" s="1"/>
  <c r="G145" i="6" l="1"/>
  <c r="H75" i="6" s="1"/>
  <c r="H141" i="6" l="1"/>
  <c r="H82" i="6"/>
  <c r="H34" i="6"/>
  <c r="H107" i="6"/>
  <c r="H96" i="6"/>
  <c r="H17" i="6"/>
  <c r="H39" i="6"/>
  <c r="H21" i="6"/>
  <c r="H119" i="6"/>
  <c r="H73" i="6"/>
  <c r="I145" i="6"/>
  <c r="H131" i="6"/>
  <c r="H69" i="6"/>
  <c r="H45" i="6"/>
  <c r="H66" i="6"/>
  <c r="H41" i="6"/>
  <c r="H135" i="6"/>
  <c r="H59" i="6"/>
  <c r="H62" i="6"/>
  <c r="H138" i="6"/>
  <c r="H110" i="6"/>
  <c r="H61" i="6"/>
  <c r="H26" i="6"/>
  <c r="H80" i="6"/>
  <c r="H14" i="6"/>
  <c r="H50" i="6"/>
  <c r="H38" i="6"/>
  <c r="H15" i="6"/>
  <c r="H134" i="6"/>
  <c r="H33" i="6"/>
  <c r="H64" i="6"/>
  <c r="H51" i="6"/>
  <c r="H129" i="6"/>
  <c r="H108" i="6"/>
  <c r="H43" i="6"/>
  <c r="H84" i="6"/>
  <c r="H121" i="6"/>
  <c r="H99" i="6"/>
  <c r="H111" i="6"/>
  <c r="H81" i="6"/>
  <c r="H90" i="6"/>
  <c r="H130" i="6"/>
  <c r="H88" i="6"/>
  <c r="H42" i="6"/>
  <c r="H40" i="6"/>
  <c r="H89" i="6"/>
  <c r="H87" i="6"/>
  <c r="H18" i="6"/>
  <c r="H44" i="6"/>
  <c r="H27" i="6"/>
  <c r="H65" i="6"/>
  <c r="H122" i="6"/>
  <c r="H102" i="6"/>
  <c r="H19" i="6"/>
  <c r="H124" i="6"/>
  <c r="H109" i="6"/>
  <c r="H35" i="6"/>
  <c r="H67" i="6"/>
  <c r="H48" i="6"/>
  <c r="H118" i="6"/>
  <c r="H114" i="6"/>
  <c r="H74" i="6"/>
  <c r="H106" i="6"/>
  <c r="H104" i="6"/>
  <c r="H71" i="6"/>
  <c r="H37" i="6"/>
  <c r="H113" i="6"/>
  <c r="H92" i="6"/>
  <c r="H136" i="6"/>
  <c r="H70" i="6"/>
  <c r="H16" i="6"/>
  <c r="H144" i="6"/>
  <c r="H24" i="6"/>
  <c r="H77" i="6"/>
  <c r="H60" i="6"/>
  <c r="H142" i="6"/>
  <c r="H36" i="6"/>
  <c r="H91" i="6"/>
  <c r="H46" i="6"/>
  <c r="H143" i="6"/>
  <c r="H101" i="6"/>
  <c r="H103" i="6"/>
  <c r="H31" i="6"/>
  <c r="H112" i="6"/>
  <c r="H76" i="6"/>
  <c r="H105" i="6"/>
  <c r="H98" i="6"/>
  <c r="H97" i="6"/>
  <c r="H145" i="6"/>
  <c r="H133" i="6"/>
  <c r="H117" i="6"/>
  <c r="H115" i="6"/>
  <c r="H68" i="6"/>
  <c r="H95" i="6"/>
  <c r="H120" i="6"/>
  <c r="H28" i="6"/>
  <c r="H93" i="6"/>
  <c r="H32" i="6"/>
  <c r="H23" i="6"/>
  <c r="H86" i="6"/>
  <c r="H78" i="6"/>
  <c r="H132" i="6"/>
  <c r="H128" i="6"/>
  <c r="H85" i="6"/>
  <c r="H125" i="6"/>
  <c r="H139" i="6"/>
  <c r="H83" i="6"/>
  <c r="H20" i="6"/>
  <c r="H11" i="6"/>
  <c r="H116" i="6"/>
  <c r="H57" i="6"/>
  <c r="H137" i="6"/>
  <c r="H47" i="6"/>
  <c r="H79" i="6"/>
  <c r="H56" i="6"/>
  <c r="H100" i="6"/>
  <c r="H52" i="6"/>
  <c r="H25" i="6"/>
  <c r="H72" i="6"/>
  <c r="H123" i="6"/>
  <c r="H140" i="6"/>
  <c r="H126" i="6"/>
  <c r="H58" i="6"/>
  <c r="H12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3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3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2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8" background="1" saveData="1">
    <textPr codePage="437" sourceFile="C:\Users\Navodya\OneDrive - Lakdhanavi Limited\My folder\Tasks\Imperio – Mozambique\315 33 400\31533400_1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8" background="1" saveData="1">
    <textPr codePage="437" sourceFile="C:\Users\Kushan\OneDrive - Lakdhanavi Limited\Documents\Design\Tender\APS Tansania 4000 33 11 415\400033415_4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8" background="1" saveData="1">
    <textPr codePage="437" sourceFile="C:\Users\Dhammika.TRANSFORMER\OneDrive - Lakdhanavi Limited\Export\Tanzania\11. APS Tanzania (FN. 39-2023)\400033415_4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<sst xmlns="http://schemas.openxmlformats.org/spreadsheetml/2006/main" count="1664" uniqueCount="1188">
  <si>
    <t>* Using Standard Da</t>
  </si>
  <si>
    <t>IQUID TYPE TRANSFOR</t>
  </si>
  <si>
    <t>MER CALCULATION (Ver</t>
  </si>
  <si>
    <t>n 6.10.0)</t>
  </si>
  <si>
    <t>DESIGN: Data Set 1</t>
  </si>
  <si>
    <t>CUSTOMER NAME</t>
  </si>
  <si>
    <t>Type      ONAN Cooli</t>
  </si>
  <si>
    <t>ree Phase     50 Hz</t>
  </si>
  <si>
    <t>50 %  TC: Off-load T</t>
  </si>
  <si>
    <t>Changer</t>
  </si>
  <si>
    <t>Line/Coil Amps:</t>
  </si>
  <si>
    <t>BIL:   3  (Wye</t>
  </si>
  <si>
    <t>-------------------</t>
  </si>
  <si>
    <t>--------------------</t>
  </si>
  <si>
    <t>----- S T A C K E D</t>
  </si>
  <si>
    <t>C O R E --------</t>
  </si>
  <si>
    <t>--------- Width --</t>
  </si>
  <si>
    <t>Build ----- Weight -</t>
  </si>
  <si>
    <t>Core Design.......:</t>
  </si>
  <si>
    <t>Diagonal Dimension:</t>
  </si>
  <si>
    <t>1</t>
  </si>
  <si>
    <t>Grade/Frame Type..:</t>
  </si>
  <si>
    <t>Window Height.....:</t>
  </si>
  <si>
    <t>0.000 mm     0.0 kg</t>
  </si>
  <si>
    <t>INDUCTION.........:</t>
  </si>
  <si>
    <t>Center to Center..:</t>
  </si>
  <si>
    <t>VPT, W/kg, PBase..: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</si>
  <si>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</si>
  <si>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</si>
  <si>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</si>
  <si>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</si>
  <si>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</si>
  <si>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</si>
  <si>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</si>
  <si>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Step 7:    0.000,</t>
  </si>
  <si>
    <t>Utilization Factor:</t>
  </si>
  <si>
    <t>Core Scrap Weight.:</t>
  </si>
  <si>
    <t>Step 8:    0.000,</t>
  </si>
  <si>
    <t>Standard Core No..:</t>
  </si>
  <si>
    <t>NONE STANDARD</t>
  </si>
  <si>
    <t>Core Gross Weight.:</t>
  </si>
  <si>
    <t>Step 9:    0.000,</t>
  </si>
  <si>
    <t>:</t>
  </si>
  <si>
    <t>L O W   V O L T A</t>
  </si>
  <si>
    <t>G E   W I N D I N G</t>
  </si>
  <si>
    <t>------------------</t>
  </si>
  <si>
    <t>-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</si>
  <si>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</si>
  <si>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</si>
  <si>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</si>
  <si>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</si>
  <si>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</si>
  <si>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</si>
  <si>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Cond/Lead Weight..</t>
  </si>
  <si>
    <t>Cooling Ducts Tk/#:</t>
  </si>
  <si>
    <t>Rad Blds (H,Leg,L):</t>
  </si>
  <si>
    <t>Lay/Trn/Duc Wts...</t>
  </si>
  <si>
    <t>Eff No Cool Ducts.:</t>
  </si>
  <si>
    <t>Axial Allowance...:</t>
  </si>
  <si>
    <t>Total Insul Weight</t>
  </si>
  <si>
    <t>Short-Circuit Curr:</t>
  </si>
  <si>
    <t>Num Support Sticks:</t>
  </si>
  <si>
    <t>12</t>
  </si>
  <si>
    <t>Mean Turn Length..:</t>
  </si>
  <si>
    <t>Lead:    Wd / Tk..:</t>
  </si>
  <si>
    <t>Total Coil Weight.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</si>
  <si>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</si>
  <si>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</si>
  <si>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</si>
  <si>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</si>
  <si>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</si>
  <si>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</si>
  <si>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Resistance (Coil).</t>
  </si>
  <si>
    <t>Turn CSA .........:</t>
  </si>
  <si>
    <t>Conductor Dims....</t>
  </si>
  <si>
    <t>Specified Size</t>
  </si>
  <si>
    <t>I G H   V O L T A</t>
  </si>
  <si>
    <t>Layer-Wound Coil</t>
  </si>
  <si>
    <t>Cond Mec/Elec Lgth</t>
  </si>
  <si>
    <t>Conductor.........:</t>
  </si>
  <si>
    <t>Cond-Dim Per Turn.</t>
  </si>
  <si>
    <t>Turns Tot./Nominal:</t>
  </si>
  <si>
    <t>Cond Area Per Turn</t>
  </si>
  <si>
    <t>HV Conductor Wt...</t>
  </si>
  <si>
    <t>Add Rad Allowance.:</t>
  </si>
  <si>
    <t>0.000 mm</t>
  </si>
  <si>
    <t>Insulation Weight.</t>
  </si>
  <si>
    <t>LayIns Tk.........:</t>
  </si>
  <si>
    <t>LayIns RB W/OvBld.:</t>
  </si>
  <si>
    <t>Average LayIns Tk.</t>
  </si>
  <si>
    <t># Sup Pts/Ax All..:</t>
  </si>
  <si>
    <t>Axial Sections....:</t>
  </si>
  <si>
    <t>Layer-Layer Volts.</t>
  </si>
  <si>
    <t>L E C T R I C A L</t>
  </si>
  <si>
    <t>C L E A R A N C E</t>
  </si>
  <si>
    <t>LV to Core Leg(mm):</t>
  </si>
  <si>
    <t>LV Cond to Yoke...:</t>
  </si>
  <si>
    <t>Total HV-LV Offset</t>
  </si>
  <si>
    <t>Eff Hi-Lo ElecSpan:</t>
  </si>
  <si>
    <t>Ph-Ph Elec Spacing:</t>
  </si>
  <si>
    <t>Max LV Sup Span...</t>
  </si>
  <si>
    <t>HV-HSide/HV-LSide.:</t>
  </si>
  <si>
    <t>HV-Ends...........:</t>
  </si>
  <si>
    <t>Yoke-Case Top/Bot.</t>
  </si>
  <si>
    <t>HV Fixed Gap......:</t>
  </si>
  <si>
    <t>-------- BASIS FOR</t>
  </si>
  <si>
    <t>CALCULATIONS -------</t>
  </si>
  <si>
    <t>-- MATERIAL  PRICES</t>
  </si>
  <si>
    <t>USD/KG (17-08-01</t>
  </si>
  <si>
    <t>)</t>
  </si>
  <si>
    <t>Netw.Short Cir.Cap:</t>
  </si>
  <si>
    <t>E Rnd Wire: AL/CU.:</t>
  </si>
  <si>
    <t>4.56 / 11.73</t>
  </si>
  <si>
    <t>Core Cost.........</t>
  </si>
  <si>
    <t>Wdg Rise Limit....:</t>
  </si>
  <si>
    <t>Rect Wire : Al/Cu.:</t>
  </si>
  <si>
    <t>5.63 /  7.37</t>
  </si>
  <si>
    <t>Turn/Lay/DD Insul.</t>
  </si>
  <si>
    <t>2.18 /  3.28 / 4.1</t>
  </si>
  <si>
    <t>Top Oil Rise Limit:</t>
  </si>
  <si>
    <t>Foil Cond: AL/CU..:</t>
  </si>
  <si>
    <t>3.59 / 11.73</t>
  </si>
  <si>
    <t>Mineral/Silicone..</t>
  </si>
  <si>
    <t>0.98 /  6.12</t>
  </si>
  <si>
    <t>LME/1000 (CU/AL)..:</t>
  </si>
  <si>
    <t>0 /        0</t>
  </si>
  <si>
    <t>Case Steel/Cooling</t>
  </si>
  <si>
    <t>WEIGHTS, DIMENSIONS</t>
  </si>
  <si>
    <t>Active Part Weight:</t>
  </si>
  <si>
    <t>C&amp;C Dim: Ht/Lgth..</t>
  </si>
  <si>
    <t>Clamp &amp; Brace Wt..:</t>
  </si>
  <si>
    <t>H-L Barrier Weight:</t>
  </si>
  <si>
    <t>Bus bar/TC Weight.:</t>
  </si>
  <si>
    <t>Cov/Case &amp; Cooling:</t>
  </si>
  <si>
    <t>Total Weight......:</t>
  </si>
  <si>
    <t>Case: Lt/Wd/Ht(mm)</t>
  </si>
  <si>
    <t>------PRICE &amp; COST</t>
  </si>
  <si>
    <t>IN USD UNITS -------</t>
  </si>
  <si>
    <t>Core Cost.........:</t>
  </si>
  <si>
    <t>HV / LV Coil Cost.:</t>
  </si>
  <si>
    <t>Labor &amp; VOH/Hours.</t>
  </si>
  <si>
    <t>Case/Cooling Cost.:</t>
  </si>
  <si>
    <t>Bracing Cost......:</t>
  </si>
  <si>
    <t>Design Matl-Cost..</t>
  </si>
  <si>
    <t>Assy and Misc.....:</t>
  </si>
  <si>
    <t>Variable Cost.....</t>
  </si>
  <si>
    <t>EVALUATED LOSSES..:</t>
  </si>
  <si>
    <t>RECOMMENDED PRICE.</t>
  </si>
  <si>
    <t>---------- PERFORMA</t>
  </si>
  <si>
    <t>NCE DATA -----------</t>
  </si>
  <si>
    <t>HV Wdg DC Losses..:</t>
  </si>
  <si>
    <t>LV Wdg DC Losses..:</t>
  </si>
  <si>
    <t>HV Watts (% Eddy).:</t>
  </si>
  <si>
    <t>LV Watts (% Eddy).:</t>
  </si>
  <si>
    <t>LV Bus Bar / Stray</t>
  </si>
  <si>
    <t>No Load Losses....:</t>
  </si>
  <si>
    <t>Tot-Ld Watts(%Ed).:</t>
  </si>
  <si>
    <t>Total Losses(ONAN)</t>
  </si>
  <si>
    <t>% X / % R / % Lead:</t>
  </si>
  <si>
    <t>% Z (HV-LV-Lead)..:</t>
  </si>
  <si>
    <t>TOP OIL RISE......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</si>
  <si>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</si>
  <si>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</si>
  <si>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</si>
  <si>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</si>
  <si>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</si>
  <si>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</si>
  <si>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&gt;: Core= 1.000 BusB=</t>
  </si>
  <si>
    <t>1.0 Eddy H=   1.0</t>
  </si>
  <si>
    <t>L</t>
  </si>
  <si>
    <t>=   1.0 Stray=   1.0</t>
  </si>
  <si>
    <t>CORE: Std(NO</t>
  </si>
  <si>
    <t>) Wds(YES) C-C(NO )</t>
  </si>
  <si>
    <t>g(NO ),  COND: Foil</t>
  </si>
  <si>
    <t>Tk(NO ),  CLEAR: Wd</t>
  </si>
  <si>
    <t>O ),  CASE: Std(NO</t>
  </si>
  <si>
    <t>)  CALC: Sh Cir(YES)</t>
  </si>
  <si>
    <t>Circuit Load</t>
  </si>
  <si>
    <t>Factors:  HV= 1.000,</t>
  </si>
  <si>
    <t>LV= 1.000,   TV= 1.</t>
  </si>
  <si>
    <t>000</t>
  </si>
  <si>
    <t>Using LTL Cor</t>
  </si>
  <si>
    <t>e Loss Calculation T</t>
  </si>
  <si>
    <t>nical Standard: &lt; N</t>
  </si>
  <si>
    <t>O  &gt;</t>
  </si>
  <si>
    <t>Using LTL Loa</t>
  </si>
  <si>
    <t>d Loss Calculation T</t>
  </si>
  <si>
    <t>Impedance Mod</t>
  </si>
  <si>
    <t>el: Convensional</t>
  </si>
  <si>
    <t>Tapping Turns</t>
  </si>
  <si>
    <t>Section</t>
  </si>
  <si>
    <t>Value</t>
  </si>
  <si>
    <t>Row No</t>
  </si>
  <si>
    <t>Column No</t>
  </si>
  <si>
    <t>Start</t>
  </si>
  <si>
    <t>Core</t>
  </si>
  <si>
    <t>LV</t>
  </si>
  <si>
    <t>HV</t>
  </si>
  <si>
    <t>Clearances</t>
  </si>
  <si>
    <t>Calculations</t>
  </si>
  <si>
    <t>Weights &amp; Dimensions</t>
  </si>
  <si>
    <t>Prices</t>
  </si>
  <si>
    <t>Performance data</t>
  </si>
  <si>
    <t>Factors</t>
  </si>
  <si>
    <t>MARGINS</t>
  </si>
  <si>
    <t>Core Loss</t>
  </si>
  <si>
    <t>Cu Loss</t>
  </si>
  <si>
    <t>No Load Current</t>
  </si>
  <si>
    <t>Total Weight</t>
  </si>
  <si>
    <t>Material Name in MM</t>
  </si>
  <si>
    <t>Margin (%)</t>
  </si>
  <si>
    <t>Fin Radiators</t>
  </si>
  <si>
    <t>Panel Type Radiators</t>
  </si>
  <si>
    <t>Removable</t>
  </si>
  <si>
    <t>Cover+Base+Flange</t>
  </si>
  <si>
    <t>Steel (Total)</t>
  </si>
  <si>
    <t>Wooden Total</t>
  </si>
  <si>
    <t>Core steel</t>
  </si>
  <si>
    <t>Oil</t>
  </si>
  <si>
    <t>Copper Foil</t>
  </si>
  <si>
    <t>Round Copper</t>
  </si>
  <si>
    <t>Copper Bus Bar</t>
  </si>
  <si>
    <t>Rectangular Copper</t>
  </si>
  <si>
    <t>DDP-Double Layer</t>
  </si>
  <si>
    <t>0.15 DDP-Single Layer</t>
  </si>
  <si>
    <t>0.25 DDP-Single Layer</t>
  </si>
  <si>
    <t>Strip Insulation</t>
  </si>
  <si>
    <t>Corrugator Boards- 9.0x2.0 mm</t>
  </si>
  <si>
    <t>LV Strip</t>
  </si>
  <si>
    <t>HV Strip</t>
  </si>
  <si>
    <t>Galvanizing</t>
  </si>
  <si>
    <t>Primer Paint &amp; Thinner</t>
  </si>
  <si>
    <t>Powder Paint</t>
  </si>
  <si>
    <t>ELECTRICAL DATA</t>
  </si>
  <si>
    <t>TYPE</t>
  </si>
  <si>
    <t>Hermetically Sealed</t>
  </si>
  <si>
    <t>Conservator Type</t>
  </si>
  <si>
    <t>Fin Radiator</t>
  </si>
  <si>
    <t>Panel type</t>
  </si>
  <si>
    <t>Y</t>
  </si>
  <si>
    <t>N</t>
  </si>
  <si>
    <t>kVA</t>
  </si>
  <si>
    <t>Tap Wire</t>
  </si>
  <si>
    <t>Area</t>
  </si>
  <si>
    <t>Ph density</t>
  </si>
  <si>
    <t>Line Density</t>
  </si>
  <si>
    <t>ph (kg)</t>
  </si>
  <si>
    <t>line (kg)</t>
  </si>
  <si>
    <t>HV VOLTS</t>
  </si>
  <si>
    <t>LV VOLTS</t>
  </si>
  <si>
    <t>LV Coil current</t>
  </si>
  <si>
    <t>LV line current</t>
  </si>
  <si>
    <t>Choise</t>
  </si>
  <si>
    <t>LV Coil current density</t>
  </si>
  <si>
    <t>Capacity</t>
  </si>
  <si>
    <t>Tapping</t>
  </si>
  <si>
    <t>Barrier DDP</t>
  </si>
  <si>
    <t>HV coil current</t>
  </si>
  <si>
    <t>Closest capacity</t>
  </si>
  <si>
    <t>HV line current</t>
  </si>
  <si>
    <t>Tapping Weight</t>
  </si>
  <si>
    <t>HV voltage (kV)</t>
  </si>
  <si>
    <t>Basic Insulation Level</t>
  </si>
  <si>
    <t>%X</t>
  </si>
  <si>
    <t>%R</t>
  </si>
  <si>
    <t>Frequency</t>
  </si>
  <si>
    <t>Phases</t>
  </si>
  <si>
    <t>Tappings</t>
  </si>
  <si>
    <t>+</t>
  </si>
  <si>
    <t>Steps</t>
  </si>
  <si>
    <t>Vector Group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</si>
  <si>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</si>
  <si>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</si>
  <si>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</si>
  <si>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</si>
  <si>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</si>
  <si>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</si>
  <si>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</si>
  <si>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Core Loss Factor</t>
  </si>
  <si>
    <t>Factor k x sqrt(2)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</si>
  <si>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</si>
  <si>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</si>
  <si>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</si>
  <si>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</si>
  <si>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</si>
  <si>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</si>
  <si>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</si>
  <si>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</si>
  <si>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</si>
  <si>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</si>
  <si>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</si>
  <si>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DIMENSIONS</t>
  </si>
  <si>
    <t>CASE</t>
  </si>
  <si>
    <t>Case-Length</t>
  </si>
  <si>
    <t>Case-Width</t>
  </si>
  <si>
    <t>Case-Height</t>
  </si>
  <si>
    <t>HEIGHTS</t>
  </si>
  <si>
    <t>WEIGHTS</t>
  </si>
  <si>
    <t>Conservator</t>
  </si>
  <si>
    <t>HV Box</t>
  </si>
  <si>
    <t>ISD</t>
  </si>
  <si>
    <t>LV Box</t>
  </si>
  <si>
    <t>Height for base skid and cover</t>
  </si>
  <si>
    <t>CABLE BOX</t>
  </si>
  <si>
    <t>No of intakes /Phase (LV)</t>
  </si>
  <si>
    <t>LV Box Depth</t>
  </si>
  <si>
    <t>Conservator Length</t>
  </si>
  <si>
    <t>LV Box Width</t>
  </si>
  <si>
    <t>Panel Add. to Length</t>
  </si>
  <si>
    <t>HV Box Depth</t>
  </si>
  <si>
    <t>Panel Add. to Width</t>
  </si>
  <si>
    <t>HV Box Width</t>
  </si>
  <si>
    <t>WTI Box Depth</t>
  </si>
  <si>
    <t>Tolerance</t>
  </si>
  <si>
    <t>Length</t>
  </si>
  <si>
    <t>Width</t>
  </si>
  <si>
    <t>Height</t>
  </si>
  <si>
    <t>Weight-TOTAL</t>
  </si>
  <si>
    <t>Weight-OIL</t>
  </si>
  <si>
    <t>Weight-ACTIVE PART</t>
  </si>
  <si>
    <t>Weight-Untanking</t>
  </si>
  <si>
    <t>Container Arrangement</t>
  </si>
  <si>
    <t>40'</t>
  </si>
  <si>
    <t>20'</t>
  </si>
  <si>
    <t>Weight</t>
  </si>
  <si>
    <t>Length/Length</t>
  </si>
  <si>
    <t>Length/Width</t>
  </si>
  <si>
    <t>DESIGN</t>
  </si>
  <si>
    <t>Design</t>
  </si>
  <si>
    <t>Date</t>
  </si>
  <si>
    <t>Time</t>
  </si>
  <si>
    <t>Customer</t>
  </si>
  <si>
    <t>WINDING DATA</t>
  </si>
  <si>
    <t>Coil Length</t>
  </si>
  <si>
    <t>Window height</t>
  </si>
  <si>
    <t>Center to center</t>
  </si>
  <si>
    <t>Core Type</t>
  </si>
  <si>
    <t>Height from yoke to cover</t>
  </si>
  <si>
    <t>LV layer insulations thickness</t>
  </si>
  <si>
    <t>INSULATION</t>
  </si>
  <si>
    <t>0.15 DDP</t>
  </si>
  <si>
    <t>0.25 DDP</t>
  </si>
  <si>
    <t>HV layer insulations thickness</t>
  </si>
  <si>
    <t>HV strip insulations thickness</t>
  </si>
  <si>
    <t>Edge Strips</t>
  </si>
  <si>
    <t>LV edge strip</t>
  </si>
  <si>
    <t>1.00</t>
  </si>
  <si>
    <t>1.1</t>
  </si>
  <si>
    <t>1.2</t>
  </si>
  <si>
    <t>1.3</t>
  </si>
  <si>
    <t>HV edge strip</t>
  </si>
  <si>
    <t>1.4</t>
  </si>
  <si>
    <t>1.5</t>
  </si>
  <si>
    <t>Duct Space</t>
  </si>
  <si>
    <t>Corragated Board</t>
  </si>
  <si>
    <t>CORE STEEL</t>
  </si>
  <si>
    <t>Core Steel</t>
  </si>
  <si>
    <t>Builds(mm)</t>
  </si>
  <si>
    <t>Weight(kg)</t>
  </si>
  <si>
    <t>.</t>
  </si>
  <si>
    <t>"(10)"</t>
  </si>
  <si>
    <t>"m"</t>
  </si>
  <si>
    <t>*100</t>
  </si>
  <si>
    <t>"k"</t>
  </si>
  <si>
    <t>Adjusted Build</t>
  </si>
  <si>
    <t>TOTAL</t>
  </si>
  <si>
    <t>core steel type</t>
  </si>
  <si>
    <t>core steel thickness</t>
  </si>
  <si>
    <t>COPPER</t>
  </si>
  <si>
    <t>CU-foil</t>
  </si>
  <si>
    <t>AL-foil</t>
  </si>
  <si>
    <t>CU-layer-rect</t>
  </si>
  <si>
    <t>CU-round</t>
  </si>
  <si>
    <t>CU-rectangular</t>
  </si>
  <si>
    <t>LV Cu</t>
  </si>
  <si>
    <t>HV Cu</t>
  </si>
  <si>
    <t>Flat Cu</t>
  </si>
  <si>
    <t>LV Leads</t>
  </si>
  <si>
    <t>Bus Bars</t>
  </si>
  <si>
    <t>Total</t>
  </si>
  <si>
    <t>Inhibited Mineral Oil</t>
  </si>
  <si>
    <t>STEEL</t>
  </si>
  <si>
    <t>Steel Density (kg/mm3)</t>
  </si>
  <si>
    <t>Steel Weights</t>
  </si>
  <si>
    <t>From Program</t>
  </si>
  <si>
    <t>Calculated</t>
  </si>
  <si>
    <t>Cover</t>
  </si>
  <si>
    <t>Case + Cooling</t>
  </si>
  <si>
    <t>Case</t>
  </si>
  <si>
    <t>Clamps</t>
  </si>
  <si>
    <t>Radiator Weights</t>
  </si>
  <si>
    <t>Fin Type Radiators</t>
  </si>
  <si>
    <t>Galvanize</t>
  </si>
  <si>
    <t>Steel Channel</t>
  </si>
  <si>
    <t>Base Skid</t>
  </si>
  <si>
    <t>50x50x6 AI</t>
  </si>
  <si>
    <t>76x38x6 MS Channel</t>
  </si>
  <si>
    <t>400 upto including</t>
  </si>
  <si>
    <t>100x50x6 MS Channel</t>
  </si>
  <si>
    <t>1000 upto inc</t>
  </si>
  <si>
    <t>152x152x10 H Iron</t>
  </si>
  <si>
    <t>250x75x9 MS Channel</t>
  </si>
  <si>
    <t>&gt;2500</t>
  </si>
  <si>
    <t>Dimensions</t>
  </si>
  <si>
    <t>MS Plate Arrangement-I</t>
  </si>
  <si>
    <t>MS Plate Arrangement-II</t>
  </si>
  <si>
    <t>MS Sheet -Length</t>
  </si>
  <si>
    <t>MS Sheet -Width</t>
  </si>
  <si>
    <t>Thickness</t>
  </si>
  <si>
    <t>L/L</t>
  </si>
  <si>
    <t>W/W</t>
  </si>
  <si>
    <t>Nos</t>
  </si>
  <si>
    <t>L/W</t>
  </si>
  <si>
    <t>W/L</t>
  </si>
  <si>
    <t>Nos of transformer</t>
  </si>
  <si>
    <t>Required Nos</t>
  </si>
  <si>
    <t>Cover plate</t>
  </si>
  <si>
    <t>Base</t>
  </si>
  <si>
    <t>Nos of Sheets</t>
  </si>
  <si>
    <t>Tank</t>
  </si>
  <si>
    <t>Description</t>
  </si>
  <si>
    <t>Qty</t>
  </si>
  <si>
    <t>CSA</t>
  </si>
  <si>
    <t>WEIGHT</t>
  </si>
  <si>
    <t>Stay rod</t>
  </si>
  <si>
    <t>Tie Rod</t>
  </si>
  <si>
    <t>Flange Long side</t>
  </si>
  <si>
    <t>Flange Short side</t>
  </si>
  <si>
    <t>cons</t>
  </si>
  <si>
    <t>Traverse-Horizontal</t>
  </si>
  <si>
    <t>Traverse-Vertical</t>
  </si>
  <si>
    <t>Foot</t>
  </si>
  <si>
    <t>Wooden cross cut height</t>
  </si>
  <si>
    <t>Wooden clamp height</t>
  </si>
  <si>
    <t>COOLING</t>
  </si>
  <si>
    <t>Panel Radiators</t>
  </si>
  <si>
    <t>No of radiators</t>
  </si>
  <si>
    <t>Elements/radiator</t>
  </si>
  <si>
    <t>Center to center distance</t>
  </si>
  <si>
    <t>Depth of a radiator</t>
  </si>
  <si>
    <t>Width of radiator flange</t>
  </si>
  <si>
    <t>Radiator width</t>
  </si>
  <si>
    <t>Distance bet 2 radiators</t>
  </si>
  <si>
    <t>Offset for off-central type</t>
  </si>
  <si>
    <t>PANEL TYPE RADS</t>
  </si>
  <si>
    <t>Cons. Side</t>
  </si>
  <si>
    <t>Other Side</t>
  </si>
  <si>
    <t>Length Addition</t>
  </si>
  <si>
    <t>Width Addition</t>
  </si>
  <si>
    <t>Fin depth-long side</t>
  </si>
  <si>
    <t>Fin depth-short side</t>
  </si>
  <si>
    <t>Fin height</t>
  </si>
  <si>
    <t>Fin Thickness</t>
  </si>
  <si>
    <t>Labour Hours</t>
  </si>
  <si>
    <t>ACCESSORIES</t>
  </si>
  <si>
    <t>HV Bushings</t>
  </si>
  <si>
    <t>Selection</t>
  </si>
  <si>
    <t>Voltage (kV)</t>
  </si>
  <si>
    <t>BIL (kV)</t>
  </si>
  <si>
    <t>Current (A)</t>
  </si>
  <si>
    <t>Height (mm)</t>
  </si>
  <si>
    <t>Weight (kg)</t>
  </si>
  <si>
    <t>10 NF 250 CD = 372 mm P-4 EN</t>
  </si>
  <si>
    <t>10 NF 630</t>
  </si>
  <si>
    <t>1M (B9722)</t>
  </si>
  <si>
    <t>24 NF 250 P3 CD = 605 mm</t>
  </si>
  <si>
    <t>Plug-in Type 24 kV 250 A Interface B</t>
  </si>
  <si>
    <t>Plug-in Type 24 kV 630 A Interface C</t>
  </si>
  <si>
    <t>30 NF 250 CD = 900 mm P-3 EN</t>
  </si>
  <si>
    <t>30 NF 250 CD = 1116 mm</t>
  </si>
  <si>
    <t>30 NF 250 CD = 1920 mm</t>
  </si>
  <si>
    <t>Plug-in Type 36 kV 250 A Interface B</t>
  </si>
  <si>
    <t>Plug-in Type 36 kV 630 A Interface C</t>
  </si>
  <si>
    <t>Plug-in Type 52 kV 1000 A Interface F</t>
  </si>
  <si>
    <t>40 NF 250</t>
  </si>
  <si>
    <t>52 NF 1000 CD = 1430 mm</t>
  </si>
  <si>
    <t>LV Bushings</t>
  </si>
  <si>
    <t>EN 250</t>
  </si>
  <si>
    <t>EN 630</t>
  </si>
  <si>
    <t>EN 1250</t>
  </si>
  <si>
    <t>EN 2000</t>
  </si>
  <si>
    <t>EN 3150</t>
  </si>
  <si>
    <t>10 NF 250</t>
  </si>
  <si>
    <t>Tap selector</t>
  </si>
  <si>
    <t>Positions</t>
  </si>
  <si>
    <t>HR 7A3.235 (20kV 30A 100mm 5 Pos)</t>
  </si>
  <si>
    <t>HR 7A3.235 (20kV 30A 100mm 7 Pos)</t>
  </si>
  <si>
    <t>HM 25.43.885 (20kV 63A 131mm 5 Pos)</t>
  </si>
  <si>
    <t>HM 28.43.885 (20kV 120A 131mm 5 Pos)</t>
  </si>
  <si>
    <t>HM 28.43.885 (20kV 250A 131mm 5 Pos)</t>
  </si>
  <si>
    <t>HR 7A3.335 (30kV 30A 100mm 5 Pos)</t>
  </si>
  <si>
    <t>HR 7A3.335 (30kV 30A 100mm 7 Pos)</t>
  </si>
  <si>
    <t>HM 23.44.885 (30kV 30A 131mm 5 Pos)</t>
  </si>
  <si>
    <t>HM 23.44.885 (30kV 30A 131mm 7 Pos)</t>
  </si>
  <si>
    <t>HM 25.44.885 (30kV 63A 131mm 5 Pos)</t>
  </si>
  <si>
    <t>Valves</t>
  </si>
  <si>
    <t>PRV T-10K1 1R"</t>
  </si>
  <si>
    <t>PRV T-50 0.4 BAR</t>
  </si>
  <si>
    <t>AIR RELEASE PLUG</t>
  </si>
  <si>
    <t>ARES DIN25 DOUBLE FLANGE GATE VALVE</t>
  </si>
  <si>
    <t>SINGLE FLANGE BALL VALVE 1" NW25S-SS</t>
  </si>
  <si>
    <t>THROTTLE VALVE FOR RADIATOR NW80 FORMB</t>
  </si>
  <si>
    <t>BALL VALVE 1" PELGER</t>
  </si>
  <si>
    <t>GATE VALVE WITH SAMPLING</t>
  </si>
  <si>
    <t>GATE VALVE WITHOUT SAMPLING</t>
  </si>
  <si>
    <t>SAMPLING VALVE</t>
  </si>
  <si>
    <t>BALL VALVE 1" Threaded on both sides</t>
  </si>
  <si>
    <t>Oil Level Indicators</t>
  </si>
  <si>
    <t>Magnetic- with 400mm boss</t>
  </si>
  <si>
    <t>Magnetic- with 200mm boss</t>
  </si>
  <si>
    <t>4 HOLES PRISMATIC</t>
  </si>
  <si>
    <t>6 HOLES PRISMATIC</t>
  </si>
  <si>
    <t>8 HOLES PRISMATIC</t>
  </si>
  <si>
    <t>FLOATING TYPE</t>
  </si>
  <si>
    <t>VIAT SO4 - Dial Type with Contacts</t>
  </si>
  <si>
    <t>VIAT SO6 - Dial Type with Contacts</t>
  </si>
  <si>
    <t>Cable Boxes</t>
  </si>
  <si>
    <t>HV Cable Boxes</t>
  </si>
  <si>
    <t>Price</t>
  </si>
  <si>
    <t>Depth</t>
  </si>
  <si>
    <t>H above cover</t>
  </si>
  <si>
    <t>HV CABLE BOX</t>
  </si>
  <si>
    <t>Plug-In Cable Box</t>
  </si>
  <si>
    <t>LV CABLE BOX</t>
  </si>
  <si>
    <t>1M Cable Box</t>
  </si>
  <si>
    <t>WTI BOX</t>
  </si>
  <si>
    <t>CONNECTOR BOX</t>
  </si>
  <si>
    <t>LV Cable Boxes</t>
  </si>
  <si>
    <t>HV ENCLOSURE</t>
  </si>
  <si>
    <t>Other Parts</t>
  </si>
  <si>
    <t>RATING PLATE</t>
  </si>
  <si>
    <t>PHASE MARKING PLATES</t>
  </si>
  <si>
    <t>EN 1250 x 2</t>
  </si>
  <si>
    <t>S/A MOUNTING BRACKET</t>
  </si>
  <si>
    <t>ISD UNIT</t>
  </si>
  <si>
    <t>EN 2000 x 2</t>
  </si>
  <si>
    <t>BREATHER 1KG TYPE A</t>
  </si>
  <si>
    <t>BREATHER 1KG TYPE B</t>
  </si>
  <si>
    <t>EN 3150 x 2</t>
  </si>
  <si>
    <t>BREATHER 1KG TYPE C</t>
  </si>
  <si>
    <t>BREATHER 2KG</t>
  </si>
  <si>
    <t>WTI Box</t>
  </si>
  <si>
    <t>THERMOMETER TEK 16</t>
  </si>
  <si>
    <t>Connector Box</t>
  </si>
  <si>
    <t>THERMOWELL 3/4" BSP</t>
  </si>
  <si>
    <t>HV Enclosure</t>
  </si>
  <si>
    <t>THERMOMETER POCKET</t>
  </si>
  <si>
    <t>GALVANIZED CUP FOR THERMOMETER POCKET</t>
  </si>
  <si>
    <t>BUCHOLZ RELAY EW712</t>
  </si>
  <si>
    <t>CONSERVATOR FILLING CAP AL. 2"</t>
  </si>
  <si>
    <t>T/F WHEEL 7613T00691</t>
  </si>
  <si>
    <t>SDF</t>
  </si>
  <si>
    <t>HRC Fuse</t>
  </si>
  <si>
    <t>Current</t>
  </si>
  <si>
    <t>WINDING TEMP. INDICATOR TD50 (354 01 12X6.0)</t>
  </si>
  <si>
    <t>20A 3KL81113HA10</t>
  </si>
  <si>
    <t>WINDING TEMP. INDICATOR TD76 (354 01 12X6.0)</t>
  </si>
  <si>
    <t>32A 3KL81213HA10</t>
  </si>
  <si>
    <t>RTD WTI (PT100)</t>
  </si>
  <si>
    <t>63A 3KL81513HA10</t>
  </si>
  <si>
    <t>RTD OTI (PT100)</t>
  </si>
  <si>
    <t>100A 3KL82113HA10</t>
  </si>
  <si>
    <t>CT 3000/2A Oil Immersed (Measuring) Ring Type 15VA/0.5</t>
  </si>
  <si>
    <t>125A 3KL82213HA10</t>
  </si>
  <si>
    <t>CT 5000/5A Oil Immersed (Measuring) Ring Type 15VA/0.5</t>
  </si>
  <si>
    <t>160A 3KL82313HA10</t>
  </si>
  <si>
    <t>CT 1600/1A 5P20 15VA/0.5 2 Core</t>
  </si>
  <si>
    <t>200A 3KL83113HA10</t>
  </si>
  <si>
    <t>NCT 400/1A 5P20 15VA</t>
  </si>
  <si>
    <t>250A 3KL83213HA10</t>
  </si>
  <si>
    <t>NCT 1600/1A 5P20 15VA</t>
  </si>
  <si>
    <t>315A 3KL83313HA10</t>
  </si>
  <si>
    <t>NCT 2000/1A 5P20 15VA</t>
  </si>
  <si>
    <t>400A 3KL83413HA10</t>
  </si>
  <si>
    <t>CT TERMINAL BOX (2 TERMINALS)</t>
  </si>
  <si>
    <t>500A 3KL84113HA10</t>
  </si>
  <si>
    <t>CT TERMINAL BOX (4 TERMINALS)</t>
  </si>
  <si>
    <t>630A 3KL84213HA10</t>
  </si>
  <si>
    <t>CT TERMINAL BOX (6 TERMINALS)</t>
  </si>
  <si>
    <t>800A 3KL84313HA10</t>
  </si>
  <si>
    <t>24kV ELBOW CONNECTOR SET (03)</t>
  </si>
  <si>
    <t>36kV ELBOW CONNECTOR SET (03)</t>
  </si>
  <si>
    <t>52kV ELBOW CONNECTOR SET (04)</t>
  </si>
  <si>
    <t>OBO SURGE ARRESTERS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</si>
  <si>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</si>
  <si>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</si>
  <si>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</si>
  <si>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</si>
  <si>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</si>
  <si>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</si>
  <si>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Painting</t>
  </si>
  <si>
    <t>2 Coat Sys - DFT 130</t>
  </si>
  <si>
    <t>3 Coat Sys - DFT 250</t>
  </si>
  <si>
    <t>GALVANIZING</t>
  </si>
  <si>
    <t>Primer (kg)</t>
  </si>
  <si>
    <t>Powder (kg)</t>
  </si>
  <si>
    <t>PRIMER PAINT &amp; THINNER</t>
  </si>
  <si>
    <t>INTERNAL PAINT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</si>
  <si>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</si>
  <si>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</si>
  <si>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</si>
  <si>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</si>
  <si>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</si>
  <si>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</si>
  <si>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</si>
  <si>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</si>
  <si>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</si>
  <si>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Bill of Materials</t>
  </si>
  <si>
    <t>Transformer Type:</t>
  </si>
  <si>
    <t>Contract No.:</t>
  </si>
  <si>
    <t>Customer:</t>
  </si>
  <si>
    <t>No of Transformers:</t>
  </si>
  <si>
    <t>Material</t>
  </si>
  <si>
    <t>Unit</t>
  </si>
  <si>
    <t>Unit Price</t>
  </si>
  <si>
    <t>Cost</t>
  </si>
  <si>
    <t>%</t>
  </si>
  <si>
    <t>Total Quantity</t>
  </si>
  <si>
    <t>Per Winding Quantity</t>
  </si>
  <si>
    <t>kg</t>
  </si>
  <si>
    <t>MAJOR MATERIALS</t>
  </si>
  <si>
    <t>xxx</t>
  </si>
  <si>
    <t>LV Winding</t>
  </si>
  <si>
    <t>LV Conductor</t>
  </si>
  <si>
    <t>DDP Double Layer</t>
  </si>
  <si>
    <t>DDP Single Layer</t>
  </si>
  <si>
    <t>LV Edge Strip</t>
  </si>
  <si>
    <t>LV Insulation Packet</t>
  </si>
  <si>
    <t>Nos.</t>
  </si>
  <si>
    <t>HV Winding</t>
  </si>
  <si>
    <t>HV Conductor</t>
  </si>
  <si>
    <t>HV Strip Insulation</t>
  </si>
  <si>
    <t>HV Edge Strip</t>
  </si>
  <si>
    <t>HV Insulation Packet</t>
  </si>
  <si>
    <t>Assembly</t>
  </si>
  <si>
    <t>HD Copper</t>
  </si>
  <si>
    <t>3 mm</t>
  </si>
  <si>
    <t>Bare Copper</t>
  </si>
  <si>
    <t>7/1.7 mm</t>
  </si>
  <si>
    <t>19/1.35 mm</t>
  </si>
  <si>
    <t>Copper Flexible</t>
  </si>
  <si>
    <t>Timber Packet</t>
  </si>
  <si>
    <t>Insulation Packet</t>
  </si>
  <si>
    <t>Assembly Packets (Core+Tanking+Dispatch)</t>
  </si>
  <si>
    <t>General Choice</t>
  </si>
  <si>
    <t>Custom Choice</t>
  </si>
  <si>
    <t>Special Requirements</t>
  </si>
  <si>
    <t>Trava, Foot &amp; Clamps</t>
  </si>
  <si>
    <t>Cover Plate Thickness</t>
  </si>
  <si>
    <t>Base Thickness</t>
  </si>
  <si>
    <t>Pole Mounting Bracket</t>
  </si>
  <si>
    <t>Tank Wall Thickness</t>
  </si>
  <si>
    <t>HV Cable Lugs</t>
  </si>
  <si>
    <t>LV Cable Lugs</t>
  </si>
  <si>
    <t>THERMOMETER TWO CONTACTS</t>
  </si>
  <si>
    <t>Sets.</t>
  </si>
  <si>
    <t>MCCB Box</t>
  </si>
  <si>
    <t>75A Triple Pole MCCB</t>
  </si>
  <si>
    <t>HV connectors</t>
  </si>
  <si>
    <t>Major Material</t>
  </si>
  <si>
    <t>$</t>
  </si>
  <si>
    <t>* * *</t>
  </si>
  <si>
    <t>Accessories</t>
  </si>
  <si>
    <t>Miscellaneous</t>
  </si>
  <si>
    <t>Total Materials</t>
  </si>
  <si>
    <t>Design Engineer</t>
  </si>
  <si>
    <t>Standard Copper EU2021 Radiators</t>
  </si>
  <si>
    <t>1000/33/415 EU</t>
  </si>
  <si>
    <t>1000/33/415 EU Tank</t>
  </si>
  <si>
    <t>1000/33/400 EU</t>
  </si>
  <si>
    <t>1250/33/415 EU Tank</t>
  </si>
  <si>
    <t>1000/33/440 EU</t>
  </si>
  <si>
    <t>1000/33/690 EU</t>
  </si>
  <si>
    <t>1000/33/800 EU</t>
  </si>
  <si>
    <t>1250/33/415 EU</t>
  </si>
  <si>
    <t>1250/33/400 EU</t>
  </si>
  <si>
    <t>1250/33/400 EU Tank</t>
  </si>
  <si>
    <t>1250/33/440 EU</t>
  </si>
  <si>
    <t>1250/33/690 EU</t>
  </si>
  <si>
    <t>1250/33/800 EU</t>
  </si>
  <si>
    <t>1600/33/415 EU</t>
  </si>
  <si>
    <t>1600/33/400 EU Tank</t>
  </si>
  <si>
    <t>1600/33/400 EU</t>
  </si>
  <si>
    <t>1600/33/440 EU</t>
  </si>
  <si>
    <t>1600/33/690 EU</t>
  </si>
  <si>
    <t>1600/33/800 EU</t>
  </si>
  <si>
    <t>2000/33/415 EU</t>
  </si>
  <si>
    <t>2000/33/400 EU Tank</t>
  </si>
  <si>
    <t>2000/33/400 EU</t>
  </si>
  <si>
    <t>2000/33/440 EU</t>
  </si>
  <si>
    <t>2000/33/690 EU</t>
  </si>
  <si>
    <t>2000/33/800 EU</t>
  </si>
  <si>
    <t>2500/33/415 EU</t>
  </si>
  <si>
    <t>2500/33/400 EU Tank</t>
  </si>
  <si>
    <t>2500/33/400 EU</t>
  </si>
  <si>
    <t>2500/33/440 EU</t>
  </si>
  <si>
    <t>2500/33/690 EU</t>
  </si>
  <si>
    <t>3150/33/415 EU Tank</t>
  </si>
  <si>
    <t>2500/33/800 EU</t>
  </si>
  <si>
    <t>3150/33/415 EU</t>
  </si>
  <si>
    <t>3150/33/400 EU</t>
  </si>
  <si>
    <t>3150/33/440 EU</t>
  </si>
  <si>
    <t>3150/33/690 EU</t>
  </si>
  <si>
    <t>3150/33/800 EU</t>
  </si>
  <si>
    <t>Standard Aluminium EU2021 Radiators</t>
  </si>
  <si>
    <t>1000/33/415 EU AL</t>
  </si>
  <si>
    <t>1250/33/400 EU AL Tank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</si>
  <si>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</si>
  <si>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</si>
  <si>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</si>
  <si>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</si>
  <si>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</si>
  <si>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</si>
  <si>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</si>
  <si>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</si>
  <si>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</si>
  <si>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</si>
  <si>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2000/33/400 EU AL Tank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</si>
  <si>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</si>
  <si>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</si>
  <si>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</si>
  <si>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</si>
  <si>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</si>
  <si>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</si>
  <si>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</si>
  <si>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</si>
  <si>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</si>
  <si>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</si>
  <si>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 Tank</t>
  </si>
  <si>
    <t>2500/33/400 EU AL</t>
  </si>
  <si>
    <t>2500/33/440 EU AL</t>
  </si>
  <si>
    <t>2500/33/690 EU AL</t>
  </si>
  <si>
    <t>3150/33/400 EU AL Tank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</si>
  <si>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</si>
  <si>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</si>
  <si>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</si>
  <si>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</si>
  <si>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</si>
  <si>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</si>
  <si>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LTL TRANSFORMERS (PVT) LTD                                                                           FRM/DE/16</t>
  </si>
  <si>
    <t>Transformer Technical Specifications</t>
  </si>
  <si>
    <t>Project:</t>
  </si>
  <si>
    <t>Contract/Quotation No.</t>
  </si>
  <si>
    <t>Design No:</t>
  </si>
  <si>
    <t xml:space="preserve">Date: </t>
  </si>
  <si>
    <t>Basic Technical Features</t>
  </si>
  <si>
    <t>Customer Requirements</t>
  </si>
  <si>
    <t>Review by LTL</t>
  </si>
  <si>
    <t>Remarks</t>
  </si>
  <si>
    <t>1. Capacity</t>
  </si>
  <si>
    <t>2. No. of Units required</t>
  </si>
  <si>
    <t>3. Frequency</t>
  </si>
  <si>
    <t>Hz</t>
  </si>
  <si>
    <t>4. No. of Phases</t>
  </si>
  <si>
    <t>5. Primary Voltage</t>
  </si>
  <si>
    <t>V</t>
  </si>
  <si>
    <t xml:space="preserve">6. Tappings                                                                        </t>
  </si>
  <si>
    <t>7. Secondary Voltage (No Load)</t>
  </si>
  <si>
    <t>8. Vector Symbol</t>
  </si>
  <si>
    <t>9. Lightning Impulse Withstand Voltage (Secondary/Primary)</t>
  </si>
  <si>
    <t>kV</t>
  </si>
  <si>
    <t>33 kV</t>
  </si>
  <si>
    <t>200 / -</t>
  </si>
  <si>
    <t>70 / 3</t>
  </si>
  <si>
    <t>10. Power Frequency Withstand Voltage (Secondary/Primary)</t>
  </si>
  <si>
    <t>170 / -</t>
  </si>
  <si>
    <t>11. Conductor Material (Primary / Secondary)</t>
  </si>
  <si>
    <t>Cu/Cu</t>
  </si>
  <si>
    <t>12. Temp. Rise</t>
  </si>
  <si>
    <t>Windings</t>
  </si>
  <si>
    <t>°C</t>
  </si>
  <si>
    <t>11 kV</t>
  </si>
  <si>
    <t>95 / -</t>
  </si>
  <si>
    <t>28 / 3</t>
  </si>
  <si>
    <t xml:space="preserve">                                  </t>
  </si>
  <si>
    <t>Top Oil</t>
  </si>
  <si>
    <t>7.2 kV</t>
  </si>
  <si>
    <t>75 / -</t>
  </si>
  <si>
    <t>13. Efficiency at 100% load (P.F = 0.8)</t>
  </si>
  <si>
    <t>60 / -</t>
  </si>
  <si>
    <t>20 / 3</t>
  </si>
  <si>
    <t>14. Voltage regulation at 100% load (P.F = 0.8)</t>
  </si>
  <si>
    <t>Custom Choise</t>
  </si>
  <si>
    <t>15. No Load current</t>
  </si>
  <si>
    <t>IEC Tolerances Applicable</t>
  </si>
  <si>
    <t>16. Method of cooling</t>
  </si>
  <si>
    <t>ONAN</t>
  </si>
  <si>
    <t>17. No load loss</t>
  </si>
  <si>
    <t>W</t>
  </si>
  <si>
    <t>18. Load loss</t>
  </si>
  <si>
    <t>19. Impedance voltage</t>
  </si>
  <si>
    <t>20. Sound level</t>
  </si>
  <si>
    <t>dB</t>
  </si>
  <si>
    <t xml:space="preserve">21. Dimensions </t>
  </si>
  <si>
    <t>mm</t>
  </si>
  <si>
    <t>Approximately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</si>
  <si>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</si>
  <si>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</si>
  <si>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</si>
  <si>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</si>
  <si>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</si>
  <si>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</si>
  <si>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Hermetically sealed</t>
  </si>
  <si>
    <t>Includes in ISD</t>
  </si>
  <si>
    <t>Galvanize &amp; Powder</t>
  </si>
  <si>
    <t>RAL6028</t>
  </si>
  <si>
    <t>Dark Green</t>
  </si>
  <si>
    <t>C1</t>
  </si>
  <si>
    <t>28. Painting Method, Galvanize/Marine paint/Powder</t>
  </si>
  <si>
    <t>Shot Blast &amp; Powder</t>
  </si>
  <si>
    <t>C3</t>
  </si>
  <si>
    <t>Shot Blast &amp; Marine paint</t>
  </si>
  <si>
    <t>RAL9002</t>
  </si>
  <si>
    <t>White</t>
  </si>
  <si>
    <t>C2</t>
  </si>
  <si>
    <t>29. Unit Colour</t>
  </si>
  <si>
    <t>RAL7032</t>
  </si>
  <si>
    <t>Pebble Grey</t>
  </si>
  <si>
    <t>30.  Service conditions</t>
  </si>
  <si>
    <t>RAL7033</t>
  </si>
  <si>
    <t>Cement Grey</t>
  </si>
  <si>
    <t>C4</t>
  </si>
  <si>
    <t>Max. ambient temp.</t>
  </si>
  <si>
    <t>RAL7031</t>
  </si>
  <si>
    <t>Dark Admiralty Grey</t>
  </si>
  <si>
    <t>C5-I</t>
  </si>
  <si>
    <t>Monthly average temp.</t>
  </si>
  <si>
    <t>C5-M</t>
  </si>
  <si>
    <t>Yearly average temp.</t>
  </si>
  <si>
    <t>31. Altitude (Maximum)</t>
  </si>
  <si>
    <t>m</t>
  </si>
  <si>
    <t>32. Standard</t>
  </si>
  <si>
    <t>IEC60076:2011</t>
  </si>
  <si>
    <t>33. Protection Available</t>
  </si>
  <si>
    <t>34. Changes by customer (if any)</t>
  </si>
  <si>
    <t>ISD (includes protection for oil level, oil temp.,pressure &amp; gas )</t>
  </si>
  <si>
    <t>Oil Level Indicator</t>
  </si>
  <si>
    <t>Designation</t>
  </si>
  <si>
    <t>Sig.</t>
  </si>
  <si>
    <t>Pressure Release Device (Without Contacts)</t>
  </si>
  <si>
    <t>Designed by:</t>
  </si>
  <si>
    <t>EE</t>
  </si>
  <si>
    <t>Winding Temperature Indicator</t>
  </si>
  <si>
    <t>Reviewed by:</t>
  </si>
  <si>
    <t>Bi- Directional Rollers</t>
  </si>
  <si>
    <t>Approved by:</t>
  </si>
  <si>
    <t>MDC</t>
  </si>
  <si>
    <t>Revision No.: 00/25-05-2021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</si>
  <si>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</si>
  <si>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DESIGN DATA OUTPUT SHEET</t>
  </si>
  <si>
    <t>CORE DETAIL</t>
  </si>
  <si>
    <t>WT. (Kg)</t>
  </si>
  <si>
    <t>W1</t>
  </si>
  <si>
    <t>WINDING TYPE</t>
  </si>
  <si>
    <t>VOLTS (L/PH) V</t>
  </si>
  <si>
    <t>CURRENT (L/PH) A</t>
  </si>
  <si>
    <t>CONNECTION</t>
  </si>
  <si>
    <t>TEST (PF / IMP.) kV</t>
  </si>
  <si>
    <t>3 / -</t>
  </si>
  <si>
    <t>70 / 170</t>
  </si>
  <si>
    <t>70 / 200</t>
  </si>
  <si>
    <t>TURNS</t>
  </si>
  <si>
    <t>LAYERS</t>
  </si>
  <si>
    <t>28 / 75</t>
  </si>
  <si>
    <t>TURNS / LAYER</t>
  </si>
  <si>
    <t>20 / 60</t>
  </si>
  <si>
    <t>1 &amp; 2 , 13 &amp; 14 , 14 &amp; 15</t>
  </si>
  <si>
    <t>EDGE STRIP (mm)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</si>
  <si>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</si>
  <si>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</si>
  <si>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</si>
  <si>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</si>
  <si>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</si>
  <si>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</si>
  <si>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HD Copper - 3 mm dia paper covered</t>
  </si>
  <si>
    <t>FLEXIBLE SIZE (mm)</t>
  </si>
  <si>
    <t>RADIALS (mm)</t>
  </si>
  <si>
    <t>7/1.7 bare copper</t>
  </si>
  <si>
    <t>I.D/O.D (mm)</t>
  </si>
  <si>
    <t>19/1.35 bare copper</t>
  </si>
  <si>
    <t>ELEC./WDG. LGTH. (mm)</t>
  </si>
  <si>
    <t>EQ. MEAN DIAM. (mm)</t>
  </si>
  <si>
    <t>MEAN TURN (m)</t>
  </si>
  <si>
    <t>WEIGHT TOTAL (Kg)</t>
  </si>
  <si>
    <t>RESIST / PH (Ohm)</t>
  </si>
  <si>
    <r>
      <t>1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</si>
  <si>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</si>
  <si>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</si>
  <si>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</si>
  <si>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LV INNER TUBE</t>
  </si>
  <si>
    <t>2 mm PB + 4.5 mm CD (690 x 1100 mm)</t>
  </si>
  <si>
    <t>STICK BARRIER :</t>
  </si>
  <si>
    <t>20 mm {2mm Type B CB + (6+6+4 PB) + 2mm Glue Allowance} x 690 mm x 1000 mm</t>
  </si>
  <si>
    <t>Noinal</t>
  </si>
  <si>
    <t>No. of tap pos</t>
  </si>
  <si>
    <t>Deviation</t>
  </si>
  <si>
    <t>TAP</t>
  </si>
  <si>
    <t>LOSSES</t>
  </si>
  <si>
    <t>CALCULATED</t>
  </si>
  <si>
    <t>GUARANTEED</t>
  </si>
  <si>
    <t xml:space="preserve"> WEIGHTS (Kg)</t>
  </si>
  <si>
    <t>CAPACITY (kVA)</t>
  </si>
  <si>
    <t>LV CU</t>
  </si>
  <si>
    <t>HV CU</t>
  </si>
  <si>
    <t>CU LOSS               (W)</t>
  </si>
  <si>
    <t>CU LEAD / BUSBAR</t>
  </si>
  <si>
    <t>FE LOSS               (W)</t>
  </si>
  <si>
    <t>TOTAL CU</t>
  </si>
  <si>
    <t>CORE</t>
  </si>
  <si>
    <t>TOTAL LOSS       (W)</t>
  </si>
  <si>
    <t>LV INSULATION</t>
  </si>
  <si>
    <t>REACTANCE       (%)</t>
  </si>
  <si>
    <t>HV INSULATION</t>
  </si>
  <si>
    <t>IMPEDANCE       (%)</t>
  </si>
  <si>
    <t>CORE AND WDGS</t>
  </si>
  <si>
    <t>NO LOAD CURRENT (%)</t>
  </si>
  <si>
    <t>OIL WEIGHT</t>
  </si>
  <si>
    <t>T. RISE OIL         (°C)</t>
  </si>
  <si>
    <t>WEIGHT OF RADIATOR</t>
  </si>
  <si>
    <t>T. RISE WDG.     (°C)</t>
  </si>
  <si>
    <t>TOTAL WEIGHT</t>
  </si>
  <si>
    <t>X/R</t>
  </si>
  <si>
    <t>EXPANSION OIL VOLUME</t>
  </si>
  <si>
    <t>TANK INSIDE</t>
  </si>
  <si>
    <t xml:space="preserve">WIDTH (mm) : </t>
  </si>
  <si>
    <t>HEIGHT OF RADIATOR :</t>
  </si>
  <si>
    <t>NUMBER OF RADIATORS :</t>
  </si>
  <si>
    <t>CENTER LENGTH OF THE RADIATOR (mm) :</t>
  </si>
  <si>
    <t>NUMBER OF ELEMENTS PER RADIATOR :</t>
  </si>
  <si>
    <t>TYPE OF RADIATOR :</t>
  </si>
  <si>
    <t>CENTERED</t>
  </si>
  <si>
    <t>OFF CENTERED</t>
  </si>
  <si>
    <t>RATING DETAILS</t>
  </si>
  <si>
    <t>VECTOR</t>
  </si>
  <si>
    <t>CONTINUOUS   : Y</t>
  </si>
  <si>
    <t>PHASE</t>
  </si>
  <si>
    <t>TAPPINGS ON HV</t>
  </si>
  <si>
    <t>ABOVE NOMINAL :</t>
  </si>
  <si>
    <t>BELOW NOMINAL :</t>
  </si>
  <si>
    <t>SPECIAL ACCESSORIES:</t>
  </si>
  <si>
    <r>
      <t xml:space="preserve"> STANDARD : </t>
    </r>
    <r>
      <rPr>
        <sz val="8"/>
        <rFont val="Times New Roman"/>
        <family val="1"/>
      </rPr>
      <t>IEC 60076:2011</t>
    </r>
  </si>
  <si>
    <t xml:space="preserve">CUSTOMER </t>
  </si>
  <si>
    <t xml:space="preserve">DESIGNED </t>
  </si>
  <si>
    <t>DATE :</t>
  </si>
  <si>
    <t xml:space="preserve">DESIGN NO </t>
  </si>
  <si>
    <t xml:space="preserve">Q.C.M.            </t>
  </si>
  <si>
    <t xml:space="preserve">CONTRACT NO :  </t>
  </si>
  <si>
    <t>AUTHORIZED</t>
  </si>
  <si>
    <t>Revision:02/01-07-2009</t>
  </si>
  <si>
    <t>ISD / HV Enclosure 36kV 250A Interface B Plug-in Type Bushings / LV DT3150 Cable Box (6 runs per phase &amp; neutral)</t>
  </si>
  <si>
    <t>GENERAL SPECIFICATIONS</t>
  </si>
  <si>
    <t>CONDUCTOR MATERIAL</t>
  </si>
  <si>
    <t>Al</t>
  </si>
  <si>
    <t>MAJOR PRODUCT DATA</t>
  </si>
  <si>
    <t>OIL WEIGHT (kg)</t>
  </si>
  <si>
    <t>EXPANSION OIL VOLUME (L)</t>
  </si>
  <si>
    <t>LENGTH(mm)</t>
  </si>
  <si>
    <t>WIDTH(mm)</t>
  </si>
  <si>
    <t>HEIGHT(mm)</t>
  </si>
  <si>
    <t>HEIGHT OF RADIATOR(mm)</t>
  </si>
  <si>
    <t>CORRUG. L.S DEPTH (mm)</t>
  </si>
  <si>
    <t>CORRUG. S.S DEPTH (mm)</t>
  </si>
  <si>
    <t>No. of RIBS</t>
  </si>
  <si>
    <t>DATA FOR TESTING</t>
  </si>
  <si>
    <t>DATA FOR TAPPINGS</t>
  </si>
  <si>
    <t xml:space="preserve">TAP CHANGER TYPE </t>
  </si>
  <si>
    <t>IN STEPS OF</t>
  </si>
  <si>
    <t>ABOVE/ BELOW NOMINAL</t>
  </si>
  <si>
    <t>LIST</t>
  </si>
  <si>
    <t>ISD, SAMB, LV Cable box</t>
  </si>
  <si>
    <r>
      <t xml:space="preserve"> STANDARD : </t>
    </r>
    <r>
      <rPr>
        <sz val="10"/>
        <rFont val="Times New Roman"/>
        <family val="1"/>
      </rPr>
      <t>IEC 60076:2011</t>
    </r>
  </si>
  <si>
    <t>DATE : 23/8/2021</t>
  </si>
  <si>
    <t xml:space="preserve">REVIEWED            </t>
  </si>
  <si>
    <t>APPROVED</t>
  </si>
  <si>
    <t>Revision:0/1/6/2021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</si>
  <si>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</si>
  <si>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</si>
  <si>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</si>
  <si>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</si>
  <si>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</si>
  <si>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</si>
  <si>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</si>
  <si>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</si>
  <si>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Inner Perimeter...:</t>
  </si>
  <si>
    <t>DRAIN VALVE NW22</t>
  </si>
  <si>
    <t>ELECT LENGTH......</t>
  </si>
  <si>
    <t>Strip-#x#x Wd x Tk</t>
  </si>
  <si>
    <t>Layer Insul Tk....:</t>
  </si>
  <si>
    <t>Uganda - LMB procurement</t>
  </si>
  <si>
    <t>75/-</t>
  </si>
  <si>
    <t>28/3</t>
  </si>
  <si>
    <t>5% +- 10%</t>
  </si>
  <si>
    <t>RAL7033(C3M)</t>
  </si>
  <si>
    <t>Style Number: Non</t>
  </si>
  <si>
    <t>e</t>
  </si>
  <si>
    <t>: 33000 + 2- 2x 2.</t>
  </si>
  <si>
    <t>OVAL     Mitered</t>
  </si>
  <si>
    <t>23.000 mm</t>
  </si>
  <si>
    <t>50.000 mm</t>
  </si>
  <si>
    <t>1500.0  MVA</t>
  </si>
  <si>
    <t>Cuponal Bus Bar</t>
  </si>
  <si>
    <t>Shark connectors</t>
  </si>
  <si>
    <t>or -   0.950     OPT</t>
  </si>
  <si>
    <t>ta File Name: C:\Us</t>
  </si>
  <si>
    <t>ers\Kushan\OneDrive</t>
  </si>
  <si>
    <t>akdhanavi Limited\D</t>
  </si>
  <si>
    <t>esktop\LTLTrafoDesig</t>
  </si>
  <si>
    <t>eportVB.dat</t>
  </si>
  <si>
    <t>ta from Files;   Usi</t>
  </si>
  <si>
    <t>New LTL Core Loss C</t>
  </si>
  <si>
    <t>alculations ***</t>
  </si>
  <si>
    <t>TE: 2023.06.14</t>
  </si>
  <si>
    <t>Time: 10:10:52</t>
  </si>
  <si>
    <t>DER : 400033415</t>
  </si>
  <si>
    <t>ENGINEER: KUSHAN</t>
  </si>
  <si>
    <t>PS Tansania</t>
  </si>
  <si>
    <t>A -   4000  Liquid</t>
  </si>
  <si>
    <t>62 C Rise     Th</t>
  </si>
  <si>
    <t>BIL: 170 (Delt</t>
  </si>
  <si>
    <t>69.982/  40.404</t>
  </si>
  <si>
    <t>:   415</t>
  </si>
  <si>
    <t>5</t>
  </si>
  <si>
    <t>564.822/5564.822</t>
  </si>
  <si>
    <t>300.000 x 351.095 mm</t>
  </si>
  <si>
    <t>Step 1:  300.000,</t>
  </si>
  <si>
    <t>51.095 mm   704.6 kg</t>
  </si>
  <si>
    <t>27ZH00 / 3-Leg</t>
  </si>
  <si>
    <t>890.000 mm</t>
  </si>
  <si>
    <t>Step 2:  290.000,</t>
  </si>
  <si>
    <t>77.970 mm  1039.3 kg</t>
  </si>
  <si>
    <t>1.750 Tesla</t>
  </si>
  <si>
    <t>655.421 mm</t>
  </si>
  <si>
    <t>Step 3:  260.000,</t>
  </si>
  <si>
    <t>72.220 mm   863.1 kg</t>
  </si>
  <si>
    <t>29.950, 1.225, 1.05</t>
  </si>
  <si>
    <t>793.1 / 770.9 cm2</t>
  </si>
  <si>
    <t>Step 4:  220.000,</t>
  </si>
  <si>
    <t>54.280 mm   548.9 kg</t>
  </si>
  <si>
    <t>0.3902</t>
  </si>
  <si>
    <t>2036.9 kg</t>
  </si>
  <si>
    <t>Step 5:  180.000,</t>
  </si>
  <si>
    <t>35.880 mm   296.9 kg</t>
  </si>
  <si>
    <t>58.2 db /   484 Hz</t>
  </si>
  <si>
    <t>1463.3 kg</t>
  </si>
  <si>
    <t>Step 6:  120.000,</t>
  </si>
  <si>
    <t>34.960 mm   192.8 kg</t>
  </si>
  <si>
    <t>558 amp</t>
  </si>
  <si>
    <t>3500.0 kg</t>
  </si>
  <si>
    <t>0.9221</t>
  </si>
  <si>
    <t>145.4 kg</t>
  </si>
  <si>
    <t>3645.4 kg</t>
  </si>
  <si>
    <t>1.088</t>
  </si>
  <si>
    <t>1044.7 mm</t>
  </si>
  <si>
    <t>51.1 mm</t>
  </si>
  <si>
    <t>CU-Foil</t>
  </si>
  <si>
    <t>840.000 mm</t>
  </si>
  <si>
    <t>800.000  mm</t>
  </si>
  <si>
    <t>1 x    8.0</t>
  </si>
  <si>
    <t>307.000 x358.095 mm</t>
  </si>
  <si>
    <t>1x1x 800.00 x 3.000</t>
  </si>
  <si>
    <t>2.319 A/mm2</t>
  </si>
  <si>
    <t>372.421 x423.516 mm</t>
  </si>
  <si>
    <t>603.53 / 113.33 kg</t>
  </si>
  <si>
    <t>1066.7 mm</t>
  </si>
  <si>
    <t>4.500 mm / 1.00</t>
  </si>
  <si>
    <t>32.71/ 32.71/ 32.71</t>
  </si>
  <si>
    <t>10.31/  0.00/  1.73</t>
  </si>
  <si>
    <t>HV: 1 Leg: 1 LV: 1</t>
  </si>
  <si>
    <t>12.04 kg</t>
  </si>
  <si>
    <t>167995 Amp.</t>
  </si>
  <si>
    <t>1169.422 mm</t>
  </si>
  <si>
    <t>100.000 / 20.000 mm</t>
  </si>
  <si>
    <t>728.90 kg</t>
  </si>
  <si>
    <t>2655.562 mm</t>
  </si>
  <si>
    <t>0.400 mm</t>
  </si>
  <si>
    <t>60.5/17.9 deg C</t>
  </si>
  <si>
    <t>1143.851</t>
  </si>
  <si>
    <t>8.2E-050 @ 75 C</t>
  </si>
  <si>
    <t>2400.000 mm2</t>
  </si>
  <si>
    <t>750.000 /  735.600</t>
  </si>
  <si>
    <t>CU-Rectangular</t>
  </si>
  <si>
    <t>414.421 x 465.516</t>
  </si>
  <si>
    <t>1x2x 2.700 x 6.700</t>
  </si>
  <si>
    <t>1157/   1102</t>
  </si>
  <si>
    <t>632.421 x 683.516</t>
  </si>
  <si>
    <t>35.08124 mm2</t>
  </si>
  <si>
    <t>4.500 mm /  3.00</t>
  </si>
  <si>
    <t>109.00/109.00/109.00</t>
  </si>
  <si>
    <t>1905.56 kg</t>
  </si>
  <si>
    <t>HV: 3 Leg: 3 LV: 3</t>
  </si>
  <si>
    <t>67.95/ 51.61/  7.74</t>
  </si>
  <si>
    <t>1746.6 mm</t>
  </si>
  <si>
    <t>0.650/  0.500 mm</t>
  </si>
  <si>
    <t>127.30 kg</t>
  </si>
  <si>
    <t>(19 Full)  0.650 mm</t>
  </si>
  <si>
    <t>13.72 mm</t>
  </si>
  <si>
    <t>0.650 mm</t>
  </si>
  <si>
    <t>1.152 A/mm2</t>
  </si>
  <si>
    <t>12 /  1.200 mm</t>
  </si>
  <si>
    <t>2032.86 kg</t>
  </si>
  <si>
    <t>23#  51.00/ 35.00 *</t>
  </si>
  <si>
    <t>3054.9</t>
  </si>
  <si>
    <t>50.3/ 8.1 deg C</t>
  </si>
  <si>
    <t>265.950</t>
  </si>
  <si>
    <t>1.1500 @ 75 C</t>
  </si>
  <si>
    <t>3.50x  3.50x 10.00</t>
  </si>
  <si>
    <t>45.000 mm</t>
  </si>
  <si>
    <t>21.000 mm</t>
  </si>
  <si>
    <t>66.000 mm</t>
  </si>
  <si>
    <t>90.00 / 90.00 mm</t>
  </si>
  <si>
    <t>75.000 mm</t>
  </si>
  <si>
    <t>280.00 / 41.00 mm</t>
  </si>
  <si>
    <t>3.54</t>
  </si>
  <si>
    <t>62.0 deg C</t>
  </si>
  <si>
    <t>56.0 deg C</t>
  </si>
  <si>
    <t>Max No Load/Load..:</t>
  </si>
  <si>
    <t>4570 /   35800</t>
  </si>
  <si>
    <t>0.78 /  3.83</t>
  </si>
  <si>
    <t>------------- WEIGHT</t>
  </si>
  <si>
    <t>DIMENSIONS, AND COO</t>
  </si>
  <si>
    <t>LING (RADIATORS: MEN</t>
  </si>
  <si>
    <t>M140 &amp; M141   ) --</t>
  </si>
  <si>
    <t>6310 kg</t>
  </si>
  <si>
    <t>Conservator Weight:</t>
  </si>
  <si>
    <t>96.94 kg</t>
  </si>
  <si>
    <t>1490.00/1943.26  mm</t>
  </si>
  <si>
    <t>631 kg</t>
  </si>
  <si>
    <t>48.61 kg</t>
  </si>
  <si>
    <t>Ele Derating Fac..</t>
  </si>
  <si>
    <t>1.000</t>
  </si>
  <si>
    <t>Silicone Weight...:</t>
  </si>
  <si>
    <t>2828 kg</t>
  </si>
  <si>
    <t>Rads - Weight.....:</t>
  </si>
  <si>
    <t>1205 kg</t>
  </si>
  <si>
    <t>Rads, Elem/rad, Ht</t>
  </si>
  <si>
    <t>6   14  1300.0  mm</t>
  </si>
  <si>
    <t>71/     0 kg</t>
  </si>
  <si>
    <t>Fixed Radiator</t>
  </si>
  <si>
    <t>Parameters</t>
  </si>
  <si>
    <t>Elems Req/Actual..</t>
  </si>
  <si>
    <t>71/   84</t>
  </si>
  <si>
    <t>283/  2862 kg</t>
  </si>
  <si>
    <t>Rad C to C Space..:</t>
  </si>
  <si>
    <t>1100.00 mm</t>
  </si>
  <si>
    <t>Rad Element Wd/Tk.</t>
  </si>
  <si>
    <t>520.00/  11.40  mm</t>
  </si>
  <si>
    <t>12985 kg</t>
  </si>
  <si>
    <t>2093.3x 936.1x1811.0</t>
  </si>
  <si>
    <t>12390</t>
  </si>
  <si>
    <t>14514/     8462</t>
  </si>
  <si>
    <t>0 /   0</t>
  </si>
  <si>
    <t>1512/    4614</t>
  </si>
  <si>
    <t>492</t>
  </si>
  <si>
    <t>61768</t>
  </si>
  <si>
    <t>Silicone Liquid...:</t>
  </si>
  <si>
    <t>17309</t>
  </si>
  <si>
    <t>2474</t>
  </si>
  <si>
    <t>0</t>
  </si>
  <si>
    <t>EVALUATED COST....:</t>
  </si>
  <si>
    <t>123536</t>
  </si>
  <si>
    <t>5632  Watts</t>
  </si>
  <si>
    <t>7590  Watts</t>
  </si>
  <si>
    <t>7248 (22.3)</t>
  </si>
  <si>
    <t>10273 (20.8)</t>
  </si>
  <si>
    <t>1284 /  15225</t>
  </si>
  <si>
    <t>4287  Watts</t>
  </si>
  <si>
    <t>34030 (59.5)</t>
  </si>
  <si>
    <t>38317 @  75 C</t>
  </si>
  <si>
    <t>Tank Dissipation..:</t>
  </si>
  <si>
    <t>5964  Watts</t>
  </si>
  <si>
    <t>Ele Dissipation...:</t>
  </si>
  <si>
    <t>367  Watts</t>
  </si>
  <si>
    <t>Total Rad Dissip..</t>
  </si>
  <si>
    <t>32650  Watts</t>
  </si>
  <si>
    <t>7.26/0.85/0.38 %</t>
  </si>
  <si>
    <t>7.692 %</t>
  </si>
  <si>
    <t>49.7 deg C</t>
  </si>
  <si>
    <t>7.500 %</t>
  </si>
  <si>
    <t>900     LV Rad Fact</t>
  </si>
  <si>
    <t>: (Min Evaluated C</t>
  </si>
  <si>
    <t>o</t>
  </si>
  <si>
    <t>st )</t>
  </si>
  <si>
    <t>nical Standard: &lt; Y</t>
  </si>
  <si>
    <t>ES &gt;</t>
  </si>
  <si>
    <t>@.......: 1 - 1157,</t>
  </si>
  <si>
    <t>- 1129, 3 - 1102, 4</t>
  </si>
  <si>
    <t>- 1074, 5 - 1047</t>
  </si>
  <si>
    <t>APS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</si>
</sst>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  <numFmt numFmtId="169" formatCode="_-* #,##0.00_-;\-* #,##0.00_-;_-* &quot;-&quot;??_-;_-@_-"/>
    <numFmt numFmtId="170" formatCode="_ * #,##0.00_ ;_ * \-#,##0.00_ ;_ * &quot;-&quot;??_ ;_ @_ "/>
    <numFmt numFmtId="171" formatCode="_-* #,##0_-;\-* #,##0_-;_-* &quot;-&quot;??_-;_-@_-"/>
  </numFmts>
  <fonts count="10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b/>
      <sz val="10"/>
      <color indexed="11"/>
      <name val="Arial"/>
      <family val="2"/>
    </font>
    <font>
      <sz val="10"/>
      <color indexed="58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34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</font>
  </fonts>
  <fills count="8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23">
    <xf numFmtId="0" fontId="0" fillId="0" borderId="0"/>
    <xf numFmtId="0" fontId="4" fillId="0" borderId="0"/>
    <xf numFmtId="0" fontId="2" fillId="0" borderId="0"/>
    <xf numFmtId="0" fontId="2" fillId="0" borderId="0"/>
    <xf numFmtId="0" fontId="65" fillId="0" borderId="54" applyNumberFormat="0" applyFill="0" applyAlignment="0" applyProtection="0"/>
    <xf numFmtId="0" fontId="66" fillId="0" borderId="55" applyNumberFormat="0" applyFill="0" applyAlignment="0" applyProtection="0"/>
    <xf numFmtId="0" fontId="67" fillId="0" borderId="56" applyNumberFormat="0" applyFill="0" applyAlignment="0" applyProtection="0"/>
    <xf numFmtId="0" fontId="67" fillId="0" borderId="0" applyNumberFormat="0" applyFill="0" applyBorder="0" applyAlignment="0" applyProtection="0"/>
    <xf numFmtId="0" fontId="68" fillId="30" borderId="0" applyNumberFormat="0" applyBorder="0" applyAlignment="0" applyProtection="0"/>
    <xf numFmtId="0" fontId="69" fillId="31" borderId="0" applyNumberFormat="0" applyBorder="0" applyAlignment="0" applyProtection="0"/>
    <xf numFmtId="0" fontId="70" fillId="33" borderId="57" applyNumberFormat="0" applyAlignment="0" applyProtection="0"/>
    <xf numFmtId="0" fontId="71" fillId="34" borderId="58" applyNumberFormat="0" applyAlignment="0" applyProtection="0"/>
    <xf numFmtId="0" fontId="72" fillId="34" borderId="57" applyNumberFormat="0" applyAlignment="0" applyProtection="0"/>
    <xf numFmtId="0" fontId="73" fillId="0" borderId="59" applyNumberFormat="0" applyFill="0" applyAlignment="0" applyProtection="0"/>
    <xf numFmtId="0" fontId="74" fillId="35" borderId="60" applyNumberFormat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62" applyNumberFormat="0" applyFill="0" applyAlignment="0" applyProtection="0"/>
    <xf numFmtId="0" fontId="78" fillId="37" borderId="0" applyNumberFormat="0" applyBorder="0" applyAlignment="0" applyProtection="0"/>
    <xf numFmtId="0" fontId="1" fillId="39" borderId="0" applyNumberFormat="0" applyBorder="0" applyAlignment="0" applyProtection="0"/>
    <xf numFmtId="0" fontId="78" fillId="41" borderId="0" applyNumberFormat="0" applyBorder="0" applyAlignment="0" applyProtection="0"/>
    <xf numFmtId="0" fontId="1" fillId="43" borderId="0" applyNumberFormat="0" applyBorder="0" applyAlignment="0" applyProtection="0"/>
    <xf numFmtId="0" fontId="78" fillId="45" borderId="0" applyNumberFormat="0" applyBorder="0" applyAlignment="0" applyProtection="0"/>
    <xf numFmtId="0" fontId="78" fillId="49" borderId="0" applyNumberFormat="0" applyBorder="0" applyAlignment="0" applyProtection="0"/>
    <xf numFmtId="0" fontId="1" fillId="51" borderId="0" applyNumberFormat="0" applyBorder="0" applyAlignment="0" applyProtection="0"/>
    <xf numFmtId="0" fontId="78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78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79" fillId="6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6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79" fillId="6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79" fillId="65" borderId="0" applyNumberFormat="0" applyBorder="0" applyAlignment="0" applyProtection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1" fillId="58" borderId="0" applyNumberFormat="0" applyBorder="0" applyAlignment="0" applyProtection="0"/>
    <xf numFmtId="0" fontId="79" fillId="67" borderId="0" applyNumberFormat="0" applyBorder="0" applyAlignment="0" applyProtection="0"/>
    <xf numFmtId="0" fontId="1" fillId="39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79" fillId="69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79" fillId="70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79" fillId="68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79" fillId="71" borderId="0" applyNumberFormat="0" applyBorder="0" applyAlignment="0" applyProtection="0"/>
    <xf numFmtId="0" fontId="1" fillId="59" borderId="0" applyNumberFormat="0" applyBorder="0" applyAlignment="0" applyProtection="0"/>
    <xf numFmtId="0" fontId="78" fillId="40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80" fillId="72" borderId="0" applyNumberFormat="0" applyBorder="0" applyAlignment="0" applyProtection="0"/>
    <xf numFmtId="0" fontId="78" fillId="44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80" fillId="69" borderId="0" applyNumberFormat="0" applyBorder="0" applyAlignment="0" applyProtection="0"/>
    <xf numFmtId="0" fontId="78" fillId="48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80" fillId="70" borderId="0" applyNumberFormat="0" applyBorder="0" applyAlignment="0" applyProtection="0"/>
    <xf numFmtId="0" fontId="78" fillId="52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78" fillId="56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78" fillId="60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5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6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7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8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3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4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2" fillId="80" borderId="63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0" fontId="83" fillId="81" borderId="64" applyNumberFormat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96" fillId="0" borderId="0" applyFont="0" applyFill="0" applyBorder="0" applyAlignment="0" applyProtection="0">
      <alignment vertical="center"/>
    </xf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7" fillId="0" borderId="66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67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89" fillId="66" borderId="63" applyNumberFormat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0" fillId="0" borderId="68" applyNumberFormat="0" applyFill="0" applyAlignment="0" applyProtection="0"/>
    <xf numFmtId="0" fontId="99" fillId="3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91" fillId="8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0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36" borderId="61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67" borderId="69" applyNumberFormat="0" applyFont="0" applyAlignment="0" applyProtection="0"/>
    <xf numFmtId="0" fontId="79" fillId="36" borderId="61" applyNumberFormat="0" applyFont="0" applyAlignment="0" applyProtection="0"/>
    <xf numFmtId="0" fontId="79" fillId="36" borderId="61" applyNumberFormat="0" applyFont="0" applyAlignment="0" applyProtection="0"/>
    <xf numFmtId="0" fontId="79" fillId="36" borderId="61" applyNumberFormat="0" applyFon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0" fontId="92" fillId="80" borderId="70" applyNumberFormat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4" fillId="0" borderId="71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2" fillId="0" borderId="0"/>
    <xf numFmtId="0" fontId="2" fillId="0" borderId="0"/>
  </cellStyleXfs>
  <cellXfs count="68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3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13" fillId="2" borderId="0" xfId="0" applyFont="1" applyFill="1"/>
    <xf numFmtId="0" fontId="14" fillId="0" borderId="0" xfId="0" applyFont="1" applyAlignment="1">
      <alignment horizontal="center"/>
    </xf>
    <xf numFmtId="0" fontId="9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19" fillId="0" borderId="1" xfId="0" applyFont="1" applyBorder="1" applyAlignment="1">
      <alignment horizontal="justify" vertical="justify" shrinkToFit="1"/>
    </xf>
    <xf numFmtId="0" fontId="8" fillId="0" borderId="0" xfId="0" applyFont="1" applyAlignment="1">
      <alignment vertical="top" wrapText="1"/>
    </xf>
    <xf numFmtId="0" fontId="19" fillId="4" borderId="1" xfId="0" applyFont="1" applyFill="1" applyBorder="1" applyAlignment="1">
      <alignment horizontal="justify" vertical="justify" shrinkToFit="1"/>
    </xf>
    <xf numFmtId="0" fontId="20" fillId="4" borderId="2" xfId="0" applyFont="1" applyFill="1" applyBorder="1" applyAlignment="1">
      <alignment vertical="top" wrapText="1"/>
    </xf>
    <xf numFmtId="0" fontId="20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20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5" fillId="5" borderId="0" xfId="0" applyFont="1" applyFill="1"/>
    <xf numFmtId="0" fontId="26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8" fillId="0" borderId="0" xfId="0" applyFont="1"/>
    <xf numFmtId="0" fontId="28" fillId="0" borderId="0" xfId="0" applyFont="1" applyAlignment="1">
      <alignment horizontal="left"/>
    </xf>
    <xf numFmtId="0" fontId="19" fillId="0" borderId="2" xfId="0" applyFont="1" applyBorder="1" applyAlignment="1">
      <alignment horizontal="justify" vertical="justify" shrinkToFit="1"/>
    </xf>
    <xf numFmtId="0" fontId="19" fillId="0" borderId="4" xfId="0" applyFont="1" applyBorder="1" applyAlignment="1">
      <alignment horizontal="justify" vertical="justify" shrinkToFit="1"/>
    </xf>
    <xf numFmtId="0" fontId="29" fillId="7" borderId="0" xfId="0" applyFont="1" applyFill="1"/>
    <xf numFmtId="0" fontId="7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/>
    <xf numFmtId="0" fontId="3" fillId="2" borderId="0" xfId="0" applyFont="1" applyFill="1" applyAlignment="1">
      <alignment horizontal="left"/>
    </xf>
    <xf numFmtId="0" fontId="27" fillId="3" borderId="0" xfId="0" applyFont="1" applyFill="1"/>
    <xf numFmtId="0" fontId="31" fillId="8" borderId="0" xfId="0" applyFont="1" applyFill="1"/>
    <xf numFmtId="0" fontId="32" fillId="8" borderId="0" xfId="0" applyFont="1" applyFill="1"/>
    <xf numFmtId="0" fontId="0" fillId="9" borderId="0" xfId="0" applyFill="1" applyAlignment="1">
      <alignment horizontal="right"/>
    </xf>
    <xf numFmtId="0" fontId="3" fillId="9" borderId="0" xfId="0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7" fillId="2" borderId="0" xfId="0" applyFont="1" applyFill="1"/>
    <xf numFmtId="0" fontId="19" fillId="0" borderId="6" xfId="0" applyFont="1" applyBorder="1" applyAlignment="1">
      <alignment horizontal="justify" vertical="justify" shrinkToFit="1"/>
    </xf>
    <xf numFmtId="0" fontId="19" fillId="4" borderId="6" xfId="0" applyFont="1" applyFill="1" applyBorder="1" applyAlignment="1">
      <alignment horizontal="justify" vertical="justify" shrinkToFit="1"/>
    </xf>
    <xf numFmtId="0" fontId="33" fillId="0" borderId="0" xfId="0" applyFont="1"/>
    <xf numFmtId="0" fontId="34" fillId="0" borderId="0" xfId="0" applyFont="1"/>
    <xf numFmtId="0" fontId="8" fillId="0" borderId="0" xfId="0" applyFont="1" applyAlignment="1">
      <alignment wrapText="1"/>
    </xf>
    <xf numFmtId="0" fontId="35" fillId="10" borderId="0" xfId="0" applyFont="1" applyFill="1" applyAlignment="1">
      <alignment horizontal="justify" vertical="top" wrapText="1"/>
    </xf>
    <xf numFmtId="0" fontId="35" fillId="10" borderId="7" xfId="0" applyFont="1" applyFill="1" applyBorder="1" applyAlignment="1">
      <alignment horizontal="justify" vertical="top" wrapText="1"/>
    </xf>
    <xf numFmtId="10" fontId="19" fillId="0" borderId="1" xfId="0" applyNumberFormat="1" applyFont="1" applyBorder="1" applyAlignment="1">
      <alignment horizontal="justify" vertical="justify" shrinkToFit="1"/>
    </xf>
    <xf numFmtId="10" fontId="19" fillId="0" borderId="2" xfId="0" applyNumberFormat="1" applyFont="1" applyBorder="1" applyAlignment="1">
      <alignment horizontal="justify" vertical="justify" shrinkToFit="1"/>
    </xf>
    <xf numFmtId="10" fontId="20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3" fillId="12" borderId="1" xfId="0" applyFont="1" applyFill="1" applyBorder="1"/>
    <xf numFmtId="0" fontId="13" fillId="12" borderId="1" xfId="0" applyFont="1" applyFill="1" applyBorder="1" applyAlignment="1">
      <alignment horizontal="left"/>
    </xf>
    <xf numFmtId="10" fontId="13" fillId="12" borderId="1" xfId="0" applyNumberFormat="1" applyFont="1" applyFill="1" applyBorder="1"/>
    <xf numFmtId="0" fontId="13" fillId="12" borderId="6" xfId="0" applyFont="1" applyFill="1" applyBorder="1"/>
    <xf numFmtId="0" fontId="13" fillId="12" borderId="2" xfId="0" applyFont="1" applyFill="1" applyBorder="1"/>
    <xf numFmtId="0" fontId="13" fillId="12" borderId="3" xfId="0" applyFont="1" applyFill="1" applyBorder="1"/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justify"/>
    </xf>
    <xf numFmtId="0" fontId="0" fillId="0" borderId="8" xfId="0" applyBorder="1"/>
    <xf numFmtId="0" fontId="13" fillId="12" borderId="9" xfId="0" applyFont="1" applyFill="1" applyBorder="1"/>
    <xf numFmtId="0" fontId="13" fillId="12" borderId="10" xfId="0" applyFont="1" applyFill="1" applyBorder="1"/>
    <xf numFmtId="0" fontId="13" fillId="12" borderId="11" xfId="0" applyFont="1" applyFill="1" applyBorder="1"/>
    <xf numFmtId="0" fontId="13" fillId="12" borderId="12" xfId="0" applyFont="1" applyFill="1" applyBorder="1" applyAlignment="1">
      <alignment horizontal="left"/>
    </xf>
    <xf numFmtId="1" fontId="13" fillId="12" borderId="12" xfId="0" applyNumberFormat="1" applyFont="1" applyFill="1" applyBorder="1" applyAlignment="1">
      <alignment horizontal="center"/>
    </xf>
    <xf numFmtId="10" fontId="13" fillId="12" borderId="12" xfId="0" applyNumberFormat="1" applyFont="1" applyFill="1" applyBorder="1"/>
    <xf numFmtId="0" fontId="13" fillId="12" borderId="12" xfId="0" applyFont="1" applyFill="1" applyBorder="1"/>
    <xf numFmtId="0" fontId="13" fillId="12" borderId="13" xfId="0" applyFont="1" applyFill="1" applyBorder="1"/>
    <xf numFmtId="0" fontId="10" fillId="0" borderId="14" xfId="0" applyFont="1" applyBorder="1" applyAlignment="1">
      <alignment horizontal="justify" vertical="top" wrapText="1"/>
    </xf>
    <xf numFmtId="0" fontId="13" fillId="12" borderId="14" xfId="0" applyFont="1" applyFill="1" applyBorder="1"/>
    <xf numFmtId="0" fontId="10" fillId="0" borderId="15" xfId="0" applyFont="1" applyBorder="1" applyAlignment="1">
      <alignment horizontal="justify" vertical="top" wrapText="1"/>
    </xf>
    <xf numFmtId="0" fontId="10" fillId="4" borderId="14" xfId="0" applyFont="1" applyFill="1" applyBorder="1" applyAlignment="1">
      <alignment horizontal="justify" vertical="top" wrapText="1"/>
    </xf>
    <xf numFmtId="0" fontId="35" fillId="10" borderId="16" xfId="0" applyFont="1" applyFill="1" applyBorder="1" applyAlignment="1">
      <alignment horizontal="justify" vertical="top" wrapText="1"/>
    </xf>
    <xf numFmtId="0" fontId="7" fillId="0" borderId="0" xfId="0" applyFont="1" applyAlignment="1">
      <alignment horizontal="justify"/>
    </xf>
    <xf numFmtId="0" fontId="25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3" fillId="12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1" fillId="4" borderId="0" xfId="0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0" fontId="40" fillId="13" borderId="16" xfId="0" applyFont="1" applyFill="1" applyBorder="1" applyAlignment="1">
      <alignment horizontal="justify" vertical="top" wrapText="1"/>
    </xf>
    <xf numFmtId="0" fontId="40" fillId="13" borderId="0" xfId="0" applyFont="1" applyFill="1" applyAlignment="1">
      <alignment horizontal="justify" vertical="top" wrapText="1"/>
    </xf>
    <xf numFmtId="0" fontId="40" fillId="13" borderId="7" xfId="0" applyFont="1" applyFill="1" applyBorder="1" applyAlignment="1">
      <alignment horizontal="justify" vertical="top" wrapText="1"/>
    </xf>
    <xf numFmtId="0" fontId="41" fillId="14" borderId="17" xfId="0" applyFont="1" applyFill="1" applyBorder="1"/>
    <xf numFmtId="0" fontId="41" fillId="14" borderId="8" xfId="0" applyFont="1" applyFill="1" applyBorder="1"/>
    <xf numFmtId="0" fontId="41" fillId="14" borderId="18" xfId="0" applyFont="1" applyFill="1" applyBorder="1"/>
    <xf numFmtId="0" fontId="42" fillId="15" borderId="0" xfId="0" applyFont="1" applyFill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42" fillId="15" borderId="16" xfId="0" applyFont="1" applyFill="1" applyBorder="1" applyAlignment="1">
      <alignment horizontal="justify" vertical="top" wrapText="1"/>
    </xf>
    <xf numFmtId="0" fontId="42" fillId="15" borderId="7" xfId="0" applyFont="1" applyFill="1" applyBorder="1" applyAlignment="1">
      <alignment horizontal="justify" vertical="top" wrapText="1"/>
    </xf>
    <xf numFmtId="0" fontId="44" fillId="6" borderId="19" xfId="0" applyFont="1" applyFill="1" applyBorder="1"/>
    <xf numFmtId="0" fontId="44" fillId="6" borderId="20" xfId="0" applyFont="1" applyFill="1" applyBorder="1"/>
    <xf numFmtId="0" fontId="44" fillId="6" borderId="21" xfId="0" applyFont="1" applyFill="1" applyBorder="1"/>
    <xf numFmtId="0" fontId="44" fillId="6" borderId="16" xfId="0" applyFont="1" applyFill="1" applyBorder="1"/>
    <xf numFmtId="0" fontId="44" fillId="6" borderId="0" xfId="0" applyFont="1" applyFill="1"/>
    <xf numFmtId="0" fontId="44" fillId="6" borderId="7" xfId="0" applyFont="1" applyFill="1" applyBorder="1"/>
    <xf numFmtId="0" fontId="44" fillId="6" borderId="20" xfId="0" applyFont="1" applyFill="1" applyBorder="1" applyAlignment="1">
      <alignment horizontal="right"/>
    </xf>
    <xf numFmtId="10" fontId="44" fillId="6" borderId="20" xfId="0" applyNumberFormat="1" applyFont="1" applyFill="1" applyBorder="1" applyAlignment="1">
      <alignment horizontal="right"/>
    </xf>
    <xf numFmtId="0" fontId="44" fillId="6" borderId="0" xfId="0" applyFont="1" applyFill="1" applyAlignment="1">
      <alignment horizontal="right"/>
    </xf>
    <xf numFmtId="10" fontId="44" fillId="6" borderId="0" xfId="0" applyNumberFormat="1" applyFont="1" applyFill="1" applyAlignment="1">
      <alignment horizontal="right"/>
    </xf>
    <xf numFmtId="0" fontId="35" fillId="10" borderId="0" xfId="0" applyFont="1" applyFill="1" applyAlignment="1">
      <alignment horizontal="right" vertical="top" wrapText="1"/>
    </xf>
    <xf numFmtId="9" fontId="40" fillId="13" borderId="0" xfId="0" applyNumberFormat="1" applyFont="1" applyFill="1" applyAlignment="1">
      <alignment horizontal="right" vertical="top" wrapText="1"/>
    </xf>
    <xf numFmtId="0" fontId="40" fillId="13" borderId="0" xfId="0" applyFont="1" applyFill="1" applyAlignment="1">
      <alignment horizontal="right" vertical="top" wrapText="1"/>
    </xf>
    <xf numFmtId="0" fontId="42" fillId="15" borderId="0" xfId="0" applyFont="1" applyFill="1" applyAlignment="1">
      <alignment horizontal="right" vertical="top" wrapText="1"/>
    </xf>
    <xf numFmtId="0" fontId="41" fillId="14" borderId="8" xfId="0" applyFont="1" applyFill="1" applyBorder="1" applyAlignment="1">
      <alignment horizontal="right"/>
    </xf>
    <xf numFmtId="9" fontId="44" fillId="6" borderId="0" xfId="0" applyNumberFormat="1" applyFont="1" applyFill="1" applyAlignment="1">
      <alignment horizontal="right"/>
    </xf>
    <xf numFmtId="2" fontId="44" fillId="6" borderId="20" xfId="0" applyNumberFormat="1" applyFont="1" applyFill="1" applyBorder="1" applyAlignment="1">
      <alignment horizontal="right"/>
    </xf>
    <xf numFmtId="2" fontId="44" fillId="6" borderId="0" xfId="0" applyNumberFormat="1" applyFont="1" applyFill="1" applyAlignment="1">
      <alignment horizontal="right"/>
    </xf>
    <xf numFmtId="2" fontId="35" fillId="10" borderId="0" xfId="0" applyNumberFormat="1" applyFont="1" applyFill="1" applyAlignment="1">
      <alignment horizontal="right" vertical="top" wrapText="1"/>
    </xf>
    <xf numFmtId="10" fontId="41" fillId="12" borderId="0" xfId="0" applyNumberFormat="1" applyFont="1" applyFill="1" applyAlignment="1">
      <alignment horizontal="right"/>
    </xf>
    <xf numFmtId="0" fontId="25" fillId="0" borderId="0" xfId="0" applyFont="1"/>
    <xf numFmtId="0" fontId="45" fillId="0" borderId="0" xfId="0" applyFont="1"/>
    <xf numFmtId="0" fontId="46" fillId="0" borderId="0" xfId="0" applyFont="1" applyAlignment="1">
      <alignment vertical="top" wrapText="1"/>
    </xf>
    <xf numFmtId="166" fontId="25" fillId="0" borderId="0" xfId="0" applyNumberFormat="1" applyFont="1" applyAlignment="1">
      <alignment horizontal="justify" vertical="top" wrapText="1"/>
    </xf>
    <xf numFmtId="0" fontId="13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3" fillId="12" borderId="1" xfId="0" applyNumberFormat="1" applyFont="1" applyFill="1" applyBorder="1" applyAlignment="1">
      <alignment horizontal="left"/>
    </xf>
    <xf numFmtId="0" fontId="54" fillId="0" borderId="0" xfId="0" applyFont="1"/>
    <xf numFmtId="0" fontId="55" fillId="0" borderId="0" xfId="0" applyFont="1"/>
    <xf numFmtId="0" fontId="54" fillId="0" borderId="0" xfId="0" applyFont="1" applyAlignment="1">
      <alignment horizontal="right"/>
    </xf>
    <xf numFmtId="0" fontId="5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3" fontId="42" fillId="15" borderId="0" xfId="0" applyNumberFormat="1" applyFont="1" applyFill="1" applyAlignment="1">
      <alignment horizontal="right" vertical="top" wrapText="1"/>
    </xf>
    <xf numFmtId="0" fontId="57" fillId="0" borderId="1" xfId="0" applyFont="1" applyBorder="1" applyAlignment="1">
      <alignment vertical="center" wrapText="1"/>
    </xf>
    <xf numFmtId="0" fontId="57" fillId="0" borderId="23" xfId="0" applyFont="1" applyBorder="1" applyAlignment="1">
      <alignment vertical="center" wrapText="1"/>
    </xf>
    <xf numFmtId="0" fontId="5" fillId="0" borderId="20" xfId="0" applyFont="1" applyBorder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20" xfId="0" applyFont="1" applyBorder="1"/>
    <xf numFmtId="0" fontId="9" fillId="0" borderId="20" xfId="0" applyFont="1" applyBorder="1" applyAlignment="1">
      <alignment wrapText="1"/>
    </xf>
    <xf numFmtId="0" fontId="57" fillId="0" borderId="1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24" fillId="0" borderId="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4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57" fillId="0" borderId="25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13" xfId="0" applyFont="1" applyBorder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6" xfId="0" applyFont="1" applyBorder="1" applyAlignment="1">
      <alignment horizontal="center" vertical="center" wrapText="1"/>
    </xf>
    <xf numFmtId="0" fontId="57" fillId="0" borderId="6" xfId="0" applyFont="1" applyBorder="1" applyAlignment="1">
      <alignment vertical="center" wrapText="1"/>
    </xf>
    <xf numFmtId="0" fontId="57" fillId="0" borderId="14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14" fontId="14" fillId="0" borderId="28" xfId="0" applyNumberFormat="1" applyFont="1" applyBorder="1" applyAlignment="1">
      <alignment horizontal="left" vertical="center" wrapText="1"/>
    </xf>
    <xf numFmtId="0" fontId="14" fillId="0" borderId="6" xfId="0" applyFont="1" applyBorder="1" applyAlignment="1">
      <alignment vertical="center" wrapText="1"/>
    </xf>
    <xf numFmtId="0" fontId="14" fillId="0" borderId="3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62" fillId="0" borderId="0" xfId="0" applyFont="1"/>
    <xf numFmtId="0" fontId="6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2" fontId="57" fillId="0" borderId="1" xfId="0" applyNumberFormat="1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/>
    </xf>
    <xf numFmtId="2" fontId="13" fillId="12" borderId="1" xfId="0" applyNumberFormat="1" applyFont="1" applyFill="1" applyBorder="1" applyAlignment="1">
      <alignment horizontal="left"/>
    </xf>
    <xf numFmtId="0" fontId="57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7" fillId="0" borderId="23" xfId="0" applyFont="1" applyBorder="1" applyAlignment="1">
      <alignment horizontal="center" vertical="center" wrapText="1"/>
    </xf>
    <xf numFmtId="0" fontId="57" fillId="0" borderId="23" xfId="0" applyFont="1" applyBorder="1" applyAlignment="1">
      <alignment horizontal="left" vertical="center" wrapText="1"/>
    </xf>
    <xf numFmtId="0" fontId="57" fillId="0" borderId="28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right" vertical="top" wrapText="1"/>
    </xf>
    <xf numFmtId="0" fontId="9" fillId="0" borderId="12" xfId="0" applyFont="1" applyBorder="1" applyAlignment="1">
      <alignment horizontal="center" vertical="top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19" fillId="0" borderId="3" xfId="0" applyFont="1" applyBorder="1" applyAlignment="1">
      <alignment horizontal="justify" vertical="justify" shrinkToFit="1"/>
    </xf>
    <xf numFmtId="0" fontId="19" fillId="21" borderId="1" xfId="0" applyFont="1" applyFill="1" applyBorder="1" applyAlignment="1">
      <alignment horizontal="justify" vertical="justify" shrinkToFit="1"/>
    </xf>
    <xf numFmtId="165" fontId="37" fillId="21" borderId="1" xfId="0" applyNumberFormat="1" applyFont="1" applyFill="1" applyBorder="1" applyAlignment="1">
      <alignment horizontal="justify" vertical="justify" shrinkToFit="1"/>
    </xf>
    <xf numFmtId="10" fontId="19" fillId="21" borderId="1" xfId="0" applyNumberFormat="1" applyFont="1" applyFill="1" applyBorder="1" applyAlignment="1">
      <alignment horizontal="justify" vertical="justify" shrinkToFit="1"/>
    </xf>
    <xf numFmtId="0" fontId="19" fillId="21" borderId="6" xfId="0" applyFont="1" applyFill="1" applyBorder="1" applyAlignment="1">
      <alignment horizontal="justify" vertical="justify" shrinkToFit="1"/>
    </xf>
    <xf numFmtId="0" fontId="10" fillId="21" borderId="14" xfId="0" applyFont="1" applyFill="1" applyBorder="1" applyAlignment="1">
      <alignment horizontal="justify" vertical="top" wrapText="1"/>
    </xf>
    <xf numFmtId="2" fontId="19" fillId="0" borderId="6" xfId="0" applyNumberFormat="1" applyFont="1" applyBorder="1" applyAlignment="1">
      <alignment horizontal="justify" vertical="justify" shrinkToFit="1"/>
    </xf>
    <xf numFmtId="0" fontId="19" fillId="0" borderId="37" xfId="0" applyFont="1" applyBorder="1" applyAlignment="1">
      <alignment horizontal="justify" vertical="justify" shrinkToFit="1"/>
    </xf>
    <xf numFmtId="0" fontId="19" fillId="21" borderId="3" xfId="0" applyFont="1" applyFill="1" applyBorder="1" applyAlignment="1">
      <alignment horizontal="justify" vertical="justify" shrinkToFit="1"/>
    </xf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5" fillId="0" borderId="14" xfId="0" applyFont="1" applyBorder="1" applyAlignment="1">
      <alignment horizontal="left" vertical="top" wrapText="1"/>
    </xf>
    <xf numFmtId="10" fontId="13" fillId="12" borderId="1" xfId="0" applyNumberFormat="1" applyFont="1" applyFill="1" applyBorder="1" applyAlignment="1">
      <alignment horizontal="left"/>
    </xf>
    <xf numFmtId="0" fontId="9" fillId="4" borderId="46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4" fillId="22" borderId="0" xfId="0" applyFont="1" applyFill="1"/>
    <xf numFmtId="0" fontId="0" fillId="0" borderId="1" xfId="0" applyBorder="1" applyAlignment="1">
      <alignment horizontal="center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9" fillId="0" borderId="1" xfId="0" applyNumberFormat="1" applyFont="1" applyBorder="1" applyAlignment="1">
      <alignment horizontal="left"/>
    </xf>
    <xf numFmtId="0" fontId="0" fillId="23" borderId="1" xfId="0" applyFill="1" applyBorder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left" vertical="top" wrapText="1"/>
    </xf>
    <xf numFmtId="9" fontId="43" fillId="0" borderId="0" xfId="0" applyNumberFormat="1" applyFont="1" applyAlignment="1">
      <alignment horizontal="right" vertical="top" wrapText="1"/>
    </xf>
    <xf numFmtId="2" fontId="43" fillId="0" borderId="0" xfId="0" applyNumberFormat="1" applyFont="1" applyAlignment="1">
      <alignment horizontal="right" vertical="top" wrapText="1"/>
    </xf>
    <xf numFmtId="0" fontId="40" fillId="0" borderId="0" xfId="0" applyFont="1" applyAlignment="1">
      <alignment horizontal="justify" vertical="top" wrapText="1"/>
    </xf>
    <xf numFmtId="9" fontId="40" fillId="0" borderId="0" xfId="0" applyNumberFormat="1" applyFont="1" applyAlignment="1">
      <alignment horizontal="right" vertical="top" wrapText="1"/>
    </xf>
    <xf numFmtId="0" fontId="40" fillId="0" borderId="0" xfId="0" applyFont="1" applyAlignment="1">
      <alignment horizontal="right" vertical="top" wrapText="1"/>
    </xf>
    <xf numFmtId="0" fontId="40" fillId="0" borderId="0" xfId="0" applyFont="1"/>
    <xf numFmtId="0" fontId="42" fillId="0" borderId="0" xfId="0" applyFont="1" applyAlignment="1">
      <alignment horizontal="justify" vertical="top" wrapText="1"/>
    </xf>
    <xf numFmtId="0" fontId="42" fillId="0" borderId="0" xfId="0" applyFont="1" applyAlignment="1">
      <alignment horizontal="right" vertical="top" wrapText="1"/>
    </xf>
    <xf numFmtId="3" fontId="42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justify" wrapText="1"/>
    </xf>
    <xf numFmtId="0" fontId="41" fillId="0" borderId="0" xfId="0" applyFont="1"/>
    <xf numFmtId="0" fontId="41" fillId="0" borderId="0" xfId="0" applyFont="1" applyAlignment="1">
      <alignment horizontal="right"/>
    </xf>
    <xf numFmtId="0" fontId="10" fillId="0" borderId="14" xfId="0" applyFont="1" applyBorder="1" applyAlignment="1">
      <alignment horizontal="left"/>
    </xf>
    <xf numFmtId="0" fontId="0" fillId="24" borderId="0" xfId="0" applyFill="1"/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7" fillId="22" borderId="0" xfId="0" applyFont="1" applyFill="1"/>
    <xf numFmtId="0" fontId="0" fillId="22" borderId="0" xfId="0" applyFill="1"/>
    <xf numFmtId="0" fontId="0" fillId="22" borderId="0" xfId="0" applyFill="1" applyAlignment="1">
      <alignment horizontal="right"/>
    </xf>
    <xf numFmtId="0" fontId="5" fillId="0" borderId="0" xfId="1" applyFont="1"/>
    <xf numFmtId="0" fontId="64" fillId="0" borderId="1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0" borderId="44" xfId="0" applyFont="1" applyBorder="1" applyAlignment="1">
      <alignment vertical="center"/>
    </xf>
    <xf numFmtId="0" fontId="0" fillId="0" borderId="44" xfId="0" applyBorder="1"/>
    <xf numFmtId="0" fontId="9" fillId="0" borderId="0" xfId="0" applyFont="1" applyAlignment="1">
      <alignment horizontal="left" wrapText="1"/>
    </xf>
    <xf numFmtId="0" fontId="2" fillId="0" borderId="1" xfId="0" applyFont="1" applyBorder="1"/>
    <xf numFmtId="0" fontId="0" fillId="0" borderId="0" xfId="0" applyAlignment="1">
      <alignment horizontal="left" vertical="center"/>
    </xf>
    <xf numFmtId="0" fontId="0" fillId="25" borderId="0" xfId="0" applyFill="1"/>
    <xf numFmtId="49" fontId="2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26" borderId="0" xfId="0" applyFont="1" applyFill="1"/>
    <xf numFmtId="0" fontId="0" fillId="26" borderId="0" xfId="0" applyFill="1"/>
    <xf numFmtId="0" fontId="31" fillId="27" borderId="0" xfId="0" applyFont="1" applyFill="1"/>
    <xf numFmtId="0" fontId="0" fillId="27" borderId="0" xfId="0" applyFill="1"/>
    <xf numFmtId="0" fontId="9" fillId="0" borderId="0" xfId="0" applyFont="1" applyAlignment="1">
      <alignment wrapText="1"/>
    </xf>
    <xf numFmtId="164" fontId="18" fillId="0" borderId="0" xfId="0" applyNumberFormat="1" applyFont="1" applyAlignment="1">
      <alignment wrapText="1"/>
    </xf>
    <xf numFmtId="0" fontId="35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5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0" fontId="35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3" borderId="4" xfId="0" applyFill="1" applyBorder="1"/>
    <xf numFmtId="0" fontId="0" fillId="0" borderId="20" xfId="0" applyBorder="1"/>
    <xf numFmtId="0" fontId="24" fillId="0" borderId="0" xfId="0" applyFont="1" applyAlignment="1">
      <alignment vertical="justify"/>
    </xf>
    <xf numFmtId="0" fontId="3" fillId="4" borderId="1" xfId="0" applyFont="1" applyFill="1" applyBorder="1" applyAlignment="1">
      <alignment horizontal="center" vertical="justify"/>
    </xf>
    <xf numFmtId="0" fontId="3" fillId="28" borderId="1" xfId="0" applyFont="1" applyFill="1" applyBorder="1" applyAlignment="1">
      <alignment horizontal="center" vertical="justify"/>
    </xf>
    <xf numFmtId="0" fontId="3" fillId="4" borderId="1" xfId="0" applyFont="1" applyFill="1" applyBorder="1"/>
    <xf numFmtId="0" fontId="0" fillId="4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23" borderId="0" xfId="0" applyFont="1" applyFill="1"/>
    <xf numFmtId="0" fontId="31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57" fillId="2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57" fillId="20" borderId="31" xfId="0" applyFont="1" applyFill="1" applyBorder="1" applyAlignment="1">
      <alignment vertical="center" wrapText="1"/>
    </xf>
    <xf numFmtId="0" fontId="57" fillId="20" borderId="6" xfId="0" applyFont="1" applyFill="1" applyBorder="1" applyAlignment="1">
      <alignment vertical="center" wrapText="1"/>
    </xf>
    <xf numFmtId="0" fontId="57" fillId="20" borderId="3" xfId="0" applyFont="1" applyFill="1" applyBorder="1" applyAlignment="1">
      <alignment horizontal="center" vertical="center" wrapText="1"/>
    </xf>
    <xf numFmtId="2" fontId="19" fillId="0" borderId="1" xfId="2" applyNumberFormat="1" applyFont="1" applyBorder="1" applyAlignment="1">
      <alignment horizontal="justify" vertical="justify" shrinkToFit="1"/>
    </xf>
    <xf numFmtId="2" fontId="19" fillId="0" borderId="2" xfId="2" applyNumberFormat="1" applyFont="1" applyBorder="1" applyAlignment="1">
      <alignment horizontal="justify" vertical="justify" shrinkToFit="1"/>
    </xf>
    <xf numFmtId="2" fontId="20" fillId="4" borderId="2" xfId="2" applyNumberFormat="1" applyFont="1" applyFill="1" applyBorder="1" applyAlignment="1">
      <alignment horizontal="center" vertical="top" wrapText="1"/>
    </xf>
    <xf numFmtId="2" fontId="12" fillId="21" borderId="1" xfId="2" applyNumberFormat="1" applyFont="1" applyFill="1" applyBorder="1" applyAlignment="1">
      <alignment horizontal="left"/>
    </xf>
    <xf numFmtId="2" fontId="19" fillId="21" borderId="1" xfId="2" applyNumberFormat="1" applyFont="1" applyFill="1" applyBorder="1" applyAlignment="1">
      <alignment horizontal="justify" vertical="justify" shrinkToFit="1"/>
    </xf>
    <xf numFmtId="2" fontId="19" fillId="0" borderId="1" xfId="2" applyNumberFormat="1" applyFont="1" applyBorder="1" applyAlignment="1">
      <alignment horizontal="left"/>
    </xf>
    <xf numFmtId="2" fontId="12" fillId="12" borderId="1" xfId="2" applyNumberFormat="1" applyFont="1" applyFill="1" applyBorder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1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57" fillId="0" borderId="3" xfId="0" applyFont="1" applyBorder="1" applyAlignment="1">
      <alignment horizontal="center" vertical="center" wrapText="1"/>
    </xf>
    <xf numFmtId="0" fontId="57" fillId="20" borderId="1" xfId="0" applyFont="1" applyFill="1" applyBorder="1" applyAlignment="1">
      <alignment horizontal="left" vertical="center" wrapText="1"/>
    </xf>
    <xf numFmtId="0" fontId="57" fillId="0" borderId="23" xfId="0" applyFont="1" applyBorder="1" applyAlignment="1">
      <alignment horizontal="right" vertical="center" wrapText="1"/>
    </xf>
    <xf numFmtId="0" fontId="57" fillId="0" borderId="28" xfId="0" applyFont="1" applyBorder="1" applyAlignment="1">
      <alignment vertical="center" wrapText="1"/>
    </xf>
    <xf numFmtId="0" fontId="14" fillId="0" borderId="32" xfId="0" applyFont="1" applyBorder="1" applyAlignment="1">
      <alignment vertical="center" wrapText="1"/>
    </xf>
    <xf numFmtId="0" fontId="14" fillId="0" borderId="23" xfId="0" applyFont="1" applyBorder="1" applyAlignment="1">
      <alignment horizontal="center" wrapText="1"/>
    </xf>
    <xf numFmtId="0" fontId="57" fillId="0" borderId="29" xfId="0" applyFont="1" applyBorder="1" applyAlignment="1">
      <alignment horizontal="center" vertical="center" wrapText="1"/>
    </xf>
    <xf numFmtId="0" fontId="57" fillId="0" borderId="22" xfId="0" applyFont="1" applyBorder="1" applyAlignment="1">
      <alignment horizontal="center" vertical="center" wrapText="1"/>
    </xf>
    <xf numFmtId="1" fontId="57" fillId="0" borderId="2" xfId="0" applyNumberFormat="1" applyFont="1" applyBorder="1" applyAlignment="1">
      <alignment horizontal="center" vertical="center" wrapText="1"/>
    </xf>
    <xf numFmtId="2" fontId="57" fillId="0" borderId="2" xfId="0" applyNumberFormat="1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/>
    </xf>
    <xf numFmtId="0" fontId="14" fillId="20" borderId="16" xfId="0" applyFont="1" applyFill="1" applyBorder="1" applyAlignment="1">
      <alignment vertical="center" wrapText="1"/>
    </xf>
    <xf numFmtId="0" fontId="57" fillId="20" borderId="0" xfId="0" applyFont="1" applyFill="1" applyAlignment="1">
      <alignment vertical="center" wrapText="1"/>
    </xf>
    <xf numFmtId="0" fontId="57" fillId="20" borderId="25" xfId="0" applyFont="1" applyFill="1" applyBorder="1" applyAlignment="1">
      <alignment horizontal="left" vertical="center" wrapText="1"/>
    </xf>
    <xf numFmtId="0" fontId="57" fillId="20" borderId="30" xfId="0" applyFont="1" applyFill="1" applyBorder="1" applyAlignment="1">
      <alignment horizontal="center" vertical="center" wrapText="1"/>
    </xf>
    <xf numFmtId="0" fontId="57" fillId="20" borderId="6" xfId="0" applyFont="1" applyFill="1" applyBorder="1" applyAlignment="1">
      <alignment horizontal="center" vertical="center" wrapText="1"/>
    </xf>
    <xf numFmtId="0" fontId="57" fillId="20" borderId="1" xfId="0" applyFont="1" applyFill="1" applyBorder="1" applyAlignment="1">
      <alignment vertical="center" wrapText="1"/>
    </xf>
    <xf numFmtId="0" fontId="14" fillId="2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7" fillId="0" borderId="25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6" xfId="0" applyFont="1" applyBorder="1" applyAlignment="1">
      <alignment vertical="center"/>
    </xf>
    <xf numFmtId="0" fontId="3" fillId="0" borderId="0" xfId="0" applyFont="1" applyAlignment="1">
      <alignment vertical="center"/>
    </xf>
    <xf numFmtId="14" fontId="9" fillId="0" borderId="0" xfId="0" applyNumberFormat="1" applyFon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left" vertical="center" wrapText="1"/>
    </xf>
    <xf numFmtId="0" fontId="5" fillId="0" borderId="25" xfId="0" applyFont="1" applyBorder="1"/>
    <xf numFmtId="0" fontId="5" fillId="0" borderId="24" xfId="0" applyFont="1" applyBorder="1"/>
    <xf numFmtId="0" fontId="7" fillId="0" borderId="5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26" xfId="0" applyFont="1" applyBorder="1"/>
    <xf numFmtId="14" fontId="7" fillId="0" borderId="1" xfId="0" applyNumberFormat="1" applyFont="1" applyBorder="1" applyAlignment="1">
      <alignment horizontal="left" vertical="center" wrapText="1"/>
    </xf>
    <xf numFmtId="0" fontId="0" fillId="29" borderId="0" xfId="0" applyFill="1"/>
    <xf numFmtId="2" fontId="19" fillId="29" borderId="1" xfId="2" applyNumberFormat="1" applyFont="1" applyFill="1" applyBorder="1" applyAlignment="1">
      <alignment horizontal="justify" vertical="justify" shrinkToFit="1"/>
    </xf>
    <xf numFmtId="0" fontId="2" fillId="9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16" borderId="0" xfId="0" applyFont="1" applyFill="1"/>
    <xf numFmtId="49" fontId="2" fillId="0" borderId="1" xfId="0" applyNumberFormat="1" applyFont="1" applyBorder="1"/>
    <xf numFmtId="2" fontId="2" fillId="0" borderId="1" xfId="0" applyNumberFormat="1" applyFont="1" applyBorder="1" applyAlignment="1">
      <alignment horizontal="left"/>
    </xf>
    <xf numFmtId="0" fontId="2" fillId="22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2" borderId="0" xfId="0" applyFont="1" applyFill="1" applyAlignment="1">
      <alignment horizontal="justify" vertical="top" wrapText="1"/>
    </xf>
    <xf numFmtId="0" fontId="2" fillId="24" borderId="0" xfId="0" applyFont="1" applyFill="1"/>
    <xf numFmtId="0" fontId="2" fillId="4" borderId="0" xfId="0" applyFont="1" applyFill="1"/>
    <xf numFmtId="0" fontId="2" fillId="22" borderId="0" xfId="0" applyFont="1" applyFill="1"/>
    <xf numFmtId="0" fontId="3" fillId="0" borderId="8" xfId="0" applyFont="1" applyBorder="1"/>
    <xf numFmtId="0" fontId="12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12" fillId="12" borderId="1" xfId="0" applyFont="1" applyFill="1" applyBorder="1"/>
    <xf numFmtId="0" fontId="2" fillId="0" borderId="14" xfId="0" applyFont="1" applyBorder="1" applyAlignment="1">
      <alignment horizontal="left"/>
    </xf>
    <xf numFmtId="0" fontId="2" fillId="0" borderId="6" xfId="0" applyFont="1" applyBorder="1"/>
    <xf numFmtId="0" fontId="41" fillId="12" borderId="16" xfId="0" applyFont="1" applyFill="1" applyBorder="1"/>
    <xf numFmtId="0" fontId="41" fillId="12" borderId="0" xfId="0" applyFont="1" applyFill="1"/>
    <xf numFmtId="0" fontId="41" fillId="12" borderId="0" xfId="0" applyFont="1" applyFill="1" applyAlignment="1">
      <alignment horizontal="right"/>
    </xf>
    <xf numFmtId="2" fontId="41" fillId="12" borderId="0" xfId="0" applyNumberFormat="1" applyFont="1" applyFill="1" applyAlignment="1">
      <alignment horizontal="right"/>
    </xf>
    <xf numFmtId="0" fontId="41" fillId="12" borderId="7" xfId="0" applyFont="1" applyFill="1" applyBorder="1"/>
    <xf numFmtId="0" fontId="41" fillId="12" borderId="0" xfId="0" applyFont="1" applyFill="1" applyAlignment="1">
      <alignment horizontal="left"/>
    </xf>
    <xf numFmtId="5" fontId="41" fillId="12" borderId="0" xfId="0" applyNumberFormat="1" applyFont="1" applyFill="1" applyAlignment="1">
      <alignment horizontal="right"/>
    </xf>
    <xf numFmtId="10" fontId="35" fillId="10" borderId="0" xfId="0" applyNumberFormat="1" applyFont="1" applyFill="1" applyAlignment="1">
      <alignment horizontal="right" vertical="top" wrapText="1"/>
    </xf>
    <xf numFmtId="10" fontId="40" fillId="13" borderId="0" xfId="0" applyNumberFormat="1" applyFont="1" applyFill="1" applyAlignment="1">
      <alignment horizontal="right" vertical="top" wrapText="1"/>
    </xf>
    <xf numFmtId="10" fontId="42" fillId="15" borderId="0" xfId="0" applyNumberFormat="1" applyFont="1" applyFill="1" applyAlignment="1">
      <alignment horizontal="right" vertical="top" wrapText="1"/>
    </xf>
    <xf numFmtId="0" fontId="35" fillId="0" borderId="53" xfId="0" applyFont="1" applyBorder="1"/>
    <xf numFmtId="0" fontId="35" fillId="0" borderId="5" xfId="0" applyFont="1" applyBorder="1"/>
    <xf numFmtId="9" fontId="35" fillId="0" borderId="5" xfId="0" applyNumberFormat="1" applyFont="1" applyBorder="1" applyAlignment="1">
      <alignment horizontal="right"/>
    </xf>
    <xf numFmtId="2" fontId="35" fillId="0" borderId="5" xfId="0" applyNumberFormat="1" applyFont="1" applyBorder="1" applyAlignment="1">
      <alignment horizontal="right"/>
    </xf>
    <xf numFmtId="10" fontId="35" fillId="0" borderId="5" xfId="0" applyNumberFormat="1" applyFont="1" applyBorder="1" applyAlignment="1">
      <alignment horizontal="right"/>
    </xf>
    <xf numFmtId="0" fontId="35" fillId="0" borderId="43" xfId="0" applyFont="1" applyBorder="1"/>
    <xf numFmtId="10" fontId="35" fillId="0" borderId="8" xfId="0" applyNumberFormat="1" applyFont="1" applyBorder="1" applyAlignment="1">
      <alignment horizontal="right" vertical="top" wrapText="1"/>
    </xf>
    <xf numFmtId="10" fontId="43" fillId="0" borderId="0" xfId="0" applyNumberFormat="1" applyFont="1" applyAlignment="1">
      <alignment horizontal="right" vertical="top" wrapText="1"/>
    </xf>
    <xf numFmtId="10" fontId="40" fillId="0" borderId="0" xfId="0" applyNumberFormat="1" applyFont="1" applyAlignment="1">
      <alignment horizontal="right" vertical="top" wrapText="1"/>
    </xf>
    <xf numFmtId="10" fontId="4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0" fillId="29" borderId="14" xfId="0" applyFont="1" applyFill="1" applyBorder="1" applyAlignment="1">
      <alignment horizontal="justify" vertical="top" wrapText="1"/>
    </xf>
    <xf numFmtId="0" fontId="10" fillId="29" borderId="15" xfId="0" applyFont="1" applyFill="1" applyBorder="1" applyAlignment="1">
      <alignment horizontal="justify" vertical="top" wrapText="1"/>
    </xf>
    <xf numFmtId="0" fontId="5" fillId="29" borderId="14" xfId="0" applyFont="1" applyFill="1" applyBorder="1" applyAlignment="1">
      <alignment horizontal="left" vertical="top" wrapText="1"/>
    </xf>
    <xf numFmtId="0" fontId="10" fillId="29" borderId="14" xfId="0" applyFont="1" applyFill="1" applyBorder="1" applyAlignment="1">
      <alignment horizontal="left"/>
    </xf>
    <xf numFmtId="2" fontId="37" fillId="29" borderId="1" xfId="0" applyNumberFormat="1" applyFont="1" applyFill="1" applyBorder="1" applyAlignment="1">
      <alignment horizontal="justify" vertical="justify" shrinkToFit="1"/>
    </xf>
    <xf numFmtId="0" fontId="10" fillId="29" borderId="51" xfId="0" applyFont="1" applyFill="1" applyBorder="1" applyAlignment="1">
      <alignment horizontal="justify" vertical="top" wrapText="1"/>
    </xf>
    <xf numFmtId="0" fontId="2" fillId="23" borderId="1" xfId="0" applyFont="1" applyFill="1" applyBorder="1"/>
    <xf numFmtId="0" fontId="10" fillId="20" borderId="15" xfId="0" applyFont="1" applyFill="1" applyBorder="1" applyAlignment="1">
      <alignment horizontal="justify" vertical="top" wrapText="1"/>
    </xf>
    <xf numFmtId="0" fontId="64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64" fillId="0" borderId="1" xfId="0" applyFont="1" applyBorder="1" applyAlignment="1">
      <alignment horizontal="left" vertical="center"/>
    </xf>
    <xf numFmtId="0" fontId="64" fillId="0" borderId="2" xfId="0" applyFont="1" applyBorder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19" fillId="0" borderId="2" xfId="0" applyFont="1" applyBorder="1" applyAlignment="1">
      <alignment horizontal="left" vertical="justify" shrinkToFit="1"/>
    </xf>
    <xf numFmtId="0" fontId="19" fillId="0" borderId="3" xfId="0" applyFont="1" applyBorder="1" applyAlignment="1">
      <alignment horizontal="left" vertical="justify" shrinkToFit="1"/>
    </xf>
    <xf numFmtId="0" fontId="9" fillId="0" borderId="1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22" fillId="0" borderId="0" xfId="0" applyFont="1" applyAlignment="1">
      <alignment horizontal="center" wrapText="1"/>
    </xf>
    <xf numFmtId="0" fontId="23" fillId="0" borderId="0" xfId="0" applyFont="1"/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2" xfId="1122" applyFont="1" applyBorder="1" applyAlignment="1">
      <alignment horizontal="left" vertical="justify" shrinkToFit="1"/>
    </xf>
    <xf numFmtId="0" fontId="19" fillId="0" borderId="3" xfId="1122" applyFont="1" applyBorder="1" applyAlignment="1">
      <alignment horizontal="left" vertical="justify" shrinkToFit="1"/>
    </xf>
    <xf numFmtId="0" fontId="19" fillId="0" borderId="2" xfId="2" applyFont="1" applyBorder="1" applyAlignment="1">
      <alignment horizontal="left" vertical="justify" shrinkToFit="1"/>
    </xf>
    <xf numFmtId="0" fontId="19" fillId="0" borderId="3" xfId="2" applyFont="1" applyBorder="1" applyAlignment="1">
      <alignment horizontal="left" vertical="justify" shrinkToFit="1"/>
    </xf>
    <xf numFmtId="0" fontId="19" fillId="0" borderId="2" xfId="0" applyFont="1" applyBorder="1" applyAlignment="1">
      <alignment horizontal="center" vertical="justify" shrinkToFit="1"/>
    </xf>
    <xf numFmtId="0" fontId="19" fillId="0" borderId="3" xfId="0" applyFont="1" applyBorder="1" applyAlignment="1">
      <alignment horizontal="center" vertical="justify" shrinkToFit="1"/>
    </xf>
    <xf numFmtId="0" fontId="21" fillId="0" borderId="37" xfId="0" applyFont="1" applyBorder="1" applyAlignment="1">
      <alignment horizontal="center" vertical="center" textRotation="255" wrapText="1"/>
    </xf>
    <xf numFmtId="0" fontId="21" fillId="0" borderId="38" xfId="0" applyFont="1" applyBorder="1" applyAlignment="1">
      <alignment horizontal="center" vertical="center" textRotation="255" wrapText="1"/>
    </xf>
    <xf numFmtId="0" fontId="21" fillId="0" borderId="1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1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5" fillId="0" borderId="16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10" fontId="9" fillId="0" borderId="4" xfId="0" applyNumberFormat="1" applyFont="1" applyBorder="1" applyAlignment="1">
      <alignment horizontal="center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9" fillId="0" borderId="48" xfId="0" applyFont="1" applyBorder="1" applyAlignment="1">
      <alignment vertical="top" wrapText="1"/>
    </xf>
    <xf numFmtId="0" fontId="9" fillId="0" borderId="33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" fontId="9" fillId="0" borderId="12" xfId="0" applyNumberFormat="1" applyFont="1" applyBorder="1" applyAlignment="1">
      <alignment horizontal="center" vertical="top" wrapText="1"/>
    </xf>
    <xf numFmtId="0" fontId="9" fillId="0" borderId="12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2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/>
    </xf>
    <xf numFmtId="0" fontId="8" fillId="0" borderId="4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43" xfId="0" applyFont="1" applyBorder="1" applyAlignment="1">
      <alignment horizontal="left" vertical="top" wrapText="1"/>
    </xf>
    <xf numFmtId="0" fontId="8" fillId="0" borderId="4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8" fontId="9" fillId="0" borderId="35" xfId="0" applyNumberFormat="1" applyFont="1" applyBorder="1" applyAlignment="1">
      <alignment horizontal="center" vertical="center"/>
    </xf>
    <xf numFmtId="168" fontId="9" fillId="0" borderId="41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2" xfId="0" applyFont="1" applyBorder="1" applyAlignment="1">
      <alignment vertical="top" wrapText="1"/>
    </xf>
    <xf numFmtId="0" fontId="9" fillId="0" borderId="4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168" fontId="9" fillId="0" borderId="2" xfId="0" applyNumberFormat="1" applyFont="1" applyBorder="1" applyAlignment="1">
      <alignment horizontal="center" vertical="center"/>
    </xf>
    <xf numFmtId="168" fontId="9" fillId="0" borderId="2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0" fillId="0" borderId="39" xfId="0" applyFont="1" applyBorder="1" applyAlignment="1">
      <alignment vertical="top" wrapText="1"/>
    </xf>
    <xf numFmtId="0" fontId="10" fillId="0" borderId="40" xfId="0" applyFont="1" applyBorder="1" applyAlignment="1">
      <alignment vertical="top" wrapText="1"/>
    </xf>
    <xf numFmtId="0" fontId="10" fillId="0" borderId="36" xfId="0" applyFont="1" applyBorder="1" applyAlignment="1">
      <alignment vertical="top" wrapText="1"/>
    </xf>
    <xf numFmtId="0" fontId="9" fillId="0" borderId="34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top" wrapText="1"/>
    </xf>
    <xf numFmtId="0" fontId="9" fillId="0" borderId="49" xfId="0" applyFont="1" applyBorder="1" applyAlignment="1">
      <alignment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38" xfId="0" applyFont="1" applyBorder="1" applyAlignment="1">
      <alignment horizontal="left" vertical="top" wrapText="1"/>
    </xf>
    <xf numFmtId="0" fontId="57" fillId="0" borderId="14" xfId="0" applyFont="1" applyBorder="1" applyAlignment="1">
      <alignment horizontal="left" vertical="center" wrapText="1"/>
    </xf>
    <xf numFmtId="0" fontId="57" fillId="0" borderId="1" xfId="0" applyFont="1" applyBorder="1" applyAlignment="1">
      <alignment horizontal="left" vertical="center" wrapText="1"/>
    </xf>
    <xf numFmtId="0" fontId="57" fillId="0" borderId="2" xfId="0" applyFont="1" applyBorder="1" applyAlignment="1">
      <alignment horizontal="center" vertical="center" wrapText="1"/>
    </xf>
    <xf numFmtId="0" fontId="57" fillId="0" borderId="28" xfId="0" applyFont="1" applyBorder="1" applyAlignment="1">
      <alignment horizontal="center" vertical="center" wrapText="1"/>
    </xf>
    <xf numFmtId="0" fontId="57" fillId="0" borderId="27" xfId="0" applyFont="1" applyBorder="1" applyAlignment="1">
      <alignment horizontal="left" vertical="center" wrapText="1"/>
    </xf>
    <xf numFmtId="0" fontId="57" fillId="0" borderId="23" xfId="0" applyFont="1" applyBorder="1" applyAlignment="1">
      <alignment horizontal="left" vertical="center" wrapText="1"/>
    </xf>
    <xf numFmtId="0" fontId="57" fillId="0" borderId="3" xfId="0" applyFont="1" applyBorder="1" applyAlignment="1">
      <alignment horizontal="left" vertical="center" wrapText="1"/>
    </xf>
    <xf numFmtId="0" fontId="57" fillId="20" borderId="1" xfId="0" applyFont="1" applyFill="1" applyBorder="1" applyAlignment="1">
      <alignment horizontal="center"/>
    </xf>
    <xf numFmtId="0" fontId="57" fillId="20" borderId="14" xfId="0" applyFont="1" applyFill="1" applyBorder="1" applyAlignment="1">
      <alignment horizontal="left" vertical="center" wrapText="1"/>
    </xf>
    <xf numFmtId="0" fontId="57" fillId="20" borderId="1" xfId="0" applyFont="1" applyFill="1" applyBorder="1" applyAlignment="1">
      <alignment horizontal="left" vertical="center" wrapText="1"/>
    </xf>
    <xf numFmtId="0" fontId="57" fillId="0" borderId="29" xfId="0" applyFont="1" applyBorder="1" applyAlignment="1">
      <alignment horizontal="center" vertical="center" wrapText="1"/>
    </xf>
    <xf numFmtId="0" fontId="57" fillId="0" borderId="22" xfId="0" applyFont="1" applyBorder="1" applyAlignment="1">
      <alignment horizontal="center" vertical="center" wrapText="1"/>
    </xf>
    <xf numFmtId="0" fontId="57" fillId="0" borderId="31" xfId="0" applyFont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left" vertical="center" wrapText="1"/>
    </xf>
    <xf numFmtId="0" fontId="14" fillId="20" borderId="1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7" fillId="20" borderId="23" xfId="0" applyFont="1" applyFill="1" applyBorder="1" applyAlignment="1">
      <alignment horizontal="center" vertical="center" wrapText="1"/>
    </xf>
    <xf numFmtId="0" fontId="57" fillId="20" borderId="1" xfId="0" applyFont="1" applyFill="1" applyBorder="1" applyAlignment="1">
      <alignment horizontal="center" vertical="center" wrapText="1"/>
    </xf>
    <xf numFmtId="0" fontId="57" fillId="0" borderId="28" xfId="0" applyFont="1" applyBorder="1" applyAlignment="1">
      <alignment horizontal="left" vertical="center" wrapText="1"/>
    </xf>
    <xf numFmtId="0" fontId="57" fillId="20" borderId="6" xfId="0" applyFont="1" applyFill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4" xfId="0" applyFont="1" applyBorder="1" applyAlignment="1">
      <alignment horizontal="center" vertical="center" wrapText="1"/>
    </xf>
    <xf numFmtId="0" fontId="57" fillId="0" borderId="48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/>
    </xf>
    <xf numFmtId="0" fontId="57" fillId="0" borderId="23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left" vertical="center" wrapText="1"/>
    </xf>
    <xf numFmtId="0" fontId="57" fillId="0" borderId="20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left" vertical="center" wrapText="1"/>
    </xf>
    <xf numFmtId="1" fontId="57" fillId="0" borderId="23" xfId="0" applyNumberFormat="1" applyFont="1" applyBorder="1" applyAlignment="1">
      <alignment horizontal="left" vertical="center" wrapText="1"/>
    </xf>
    <xf numFmtId="1" fontId="57" fillId="0" borderId="3" xfId="0" applyNumberFormat="1" applyFont="1" applyBorder="1" applyAlignment="1">
      <alignment horizontal="left" vertical="center" wrapText="1"/>
    </xf>
    <xf numFmtId="0" fontId="57" fillId="0" borderId="27" xfId="0" applyFont="1" applyBorder="1" applyAlignment="1">
      <alignment horizontal="center" vertical="center" wrapText="1"/>
    </xf>
    <xf numFmtId="0" fontId="57" fillId="0" borderId="23" xfId="0" applyFont="1" applyBorder="1" applyAlignment="1">
      <alignment horizontal="center" vertical="center" wrapText="1"/>
    </xf>
    <xf numFmtId="0" fontId="57" fillId="0" borderId="25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20" borderId="27" xfId="0" applyFont="1" applyFill="1" applyBorder="1" applyAlignment="1">
      <alignment horizontal="left" vertical="center" wrapText="1"/>
    </xf>
    <xf numFmtId="0" fontId="14" fillId="20" borderId="23" xfId="0" applyFont="1" applyFill="1" applyBorder="1" applyAlignment="1">
      <alignment horizontal="left" vertical="center" wrapText="1"/>
    </xf>
    <xf numFmtId="0" fontId="57" fillId="20" borderId="23" xfId="0" applyFont="1" applyFill="1" applyBorder="1" applyAlignment="1">
      <alignment horizontal="left" vertical="center" wrapText="1"/>
    </xf>
    <xf numFmtId="0" fontId="57" fillId="20" borderId="28" xfId="0" applyFont="1" applyFill="1" applyBorder="1" applyAlignment="1">
      <alignment horizontal="left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20" borderId="2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57" fillId="0" borderId="6" xfId="0" applyFont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/>
    </xf>
    <xf numFmtId="0" fontId="57" fillId="20" borderId="6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57" fillId="0" borderId="10" xfId="0" applyFont="1" applyBorder="1" applyAlignment="1">
      <alignment horizontal="left" vertical="center" wrapText="1"/>
    </xf>
    <xf numFmtId="0" fontId="57" fillId="0" borderId="50" xfId="0" applyFont="1" applyBorder="1" applyAlignment="1">
      <alignment horizontal="left" vertical="center" wrapText="1"/>
    </xf>
    <xf numFmtId="0" fontId="57" fillId="0" borderId="1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9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1" fontId="5" fillId="0" borderId="23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0" fillId="20" borderId="14" xfId="0" applyFont="1" applyFill="1" applyBorder="1" applyAlignment="1">
      <alignment horizontal="justify" vertical="top" wrapText="1"/>
    </xf>
    <xf numFmtId="0" fontId="19" fillId="20" borderId="1" xfId="0" applyFont="1" applyFill="1" applyBorder="1" applyAlignment="1">
      <alignment horizontal="justify" vertical="justify" shrinkToFit="1"/>
    </xf>
    <xf numFmtId="2" fontId="37" fillId="20" borderId="1" xfId="0" applyNumberFormat="1" applyFont="1" applyFill="1" applyBorder="1" applyAlignment="1">
      <alignment horizontal="justify" vertical="justify" shrinkToFit="1"/>
    </xf>
    <xf numFmtId="2" fontId="19" fillId="20" borderId="1" xfId="2" applyNumberFormat="1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9" fillId="20" borderId="1" xfId="0" applyNumberFormat="1" applyFont="1" applyFill="1" applyBorder="1" applyAlignment="1">
      <alignment horizontal="justify" vertical="justify" shrinkToFit="1"/>
    </xf>
    <xf numFmtId="0" fontId="19" fillId="20" borderId="6" xfId="0" applyFont="1" applyFill="1" applyBorder="1" applyAlignment="1">
      <alignment horizontal="justify" vertical="justify" shrinkToFit="1"/>
    </xf>
    <xf numFmtId="0" fontId="0" fillId="20" borderId="0" xfId="0" applyFill="1"/>
    <xf numFmtId="0" fontId="0" fillId="20" borderId="0" xfId="0" applyFill="1" applyAlignment="1">
      <alignment vertical="center"/>
    </xf>
    <xf numFmtId="2" fontId="19" fillId="20" borderId="6" xfId="0" applyNumberFormat="1" applyFont="1" applyFill="1" applyBorder="1" applyAlignment="1">
      <alignment horizontal="justify" vertical="justify" shrinkToFit="1"/>
    </xf>
    <xf numFmtId="0" fontId="19" fillId="20" borderId="4" xfId="0" applyFont="1" applyFill="1" applyBorder="1" applyAlignment="1">
      <alignment horizontal="justify" vertical="justify" shrinkToFit="1"/>
    </xf>
  </cellXfs>
  <cellStyles count="1123">
    <cellStyle name="20% - Accent1 2" xfId="31" xr:uid="{6B77E1DD-65C8-45E3-AE76-6D8516FE31FE}"/>
    <cellStyle name="20% - Accent1 2 2" xfId="32" xr:uid="{86D03727-36E3-4B76-A514-A7C55E1268A7}"/>
    <cellStyle name="20% - Accent1 2 3" xfId="33" xr:uid="{A2D2AD41-26D5-417E-96F1-FBA2856DA7F1}"/>
    <cellStyle name="20% - Accent1 2 4" xfId="34" xr:uid="{F37EA636-DA5E-491C-AE47-88A49A9F614F}"/>
    <cellStyle name="20% - Accent1 2 5" xfId="35" xr:uid="{4DD057CD-5EB3-4AF5-8468-9AF656BDA6C6}"/>
    <cellStyle name="20% - Accent1 2 6" xfId="36" xr:uid="{5CE7F69E-18D4-4240-A238-DB1DB08ADFBF}"/>
    <cellStyle name="20% - Accent1 2 7" xfId="37" xr:uid="{4F03BE6C-2D3E-4AFE-97FF-512BA0784A51}"/>
    <cellStyle name="20% - Accent1 2 8" xfId="38" xr:uid="{E23B7C61-7193-4885-9810-7A12C71DCC62}"/>
    <cellStyle name="20% - Accent1 3" xfId="39" xr:uid="{168DBCC2-55F4-44B7-ADD0-F2200DDB0A96}"/>
    <cellStyle name="20% - Accent1 4" xfId="40" xr:uid="{076448F0-6A43-455A-92E4-C5FF49AC1BF1}"/>
    <cellStyle name="20% - Accent2 2" xfId="41" xr:uid="{1014D614-D8C1-45C9-825D-076F8554C80D}"/>
    <cellStyle name="20% - Accent2 2 2" xfId="42" xr:uid="{480F868B-E4A8-4533-9352-93AF215215D8}"/>
    <cellStyle name="20% - Accent2 2 3" xfId="43" xr:uid="{8673D5E7-5FFD-496B-BA61-FB87AC54DB99}"/>
    <cellStyle name="20% - Accent2 2 4" xfId="44" xr:uid="{0E55C9FA-CCD2-4D5E-8BCB-50D2EA28C0F5}"/>
    <cellStyle name="20% - Accent2 2 5" xfId="45" xr:uid="{534E395F-79F4-42AB-83A5-9C5E9E23E5DE}"/>
    <cellStyle name="20% - Accent2 2 6" xfId="46" xr:uid="{41CFAFD8-8B3C-4E56-8CA5-4C5F9B48F36C}"/>
    <cellStyle name="20% - Accent2 2 7" xfId="47" xr:uid="{293420D3-C622-4424-8C7A-B61651EED587}"/>
    <cellStyle name="20% - Accent2 2 8" xfId="48" xr:uid="{B2E0FA98-18E6-43A2-9F0C-1466100EF4BF}"/>
    <cellStyle name="20% - Accent2 3" xfId="49" xr:uid="{E270BAA2-43E1-4042-9378-E57657BF22F8}"/>
    <cellStyle name="20% - Accent2 4" xfId="50" xr:uid="{E45FF091-293B-4584-BA41-3A4800FC2119}"/>
    <cellStyle name="20% - Accent3 2" xfId="51" xr:uid="{AFAEAD38-C2FA-4814-AE39-F5ED3531E020}"/>
    <cellStyle name="20% - Accent3 2 2" xfId="52" xr:uid="{1AD27335-EB61-428A-9590-C2157F162BA9}"/>
    <cellStyle name="20% - Accent3 2 3" xfId="53" xr:uid="{C1A8AD95-8005-48E6-A2BC-589A1988E39B}"/>
    <cellStyle name="20% - Accent3 2 4" xfId="54" xr:uid="{3265CD32-342F-4984-99EE-B5C77838DEC7}"/>
    <cellStyle name="20% - Accent3 2 5" xfId="55" xr:uid="{000E2363-E752-47C3-B5E8-74F6C605C62A}"/>
    <cellStyle name="20% - Accent3 2 6" xfId="56" xr:uid="{C11EEF5C-A61C-432F-94E2-454B2C97A23F}"/>
    <cellStyle name="20% - Accent3 2 7" xfId="57" xr:uid="{1E54E870-414E-4BB8-8AA6-CDA1C217805D}"/>
    <cellStyle name="20% - Accent3 2 8" xfId="58" xr:uid="{F424C3D0-EC56-4932-9FD3-7FE0A0A78270}"/>
    <cellStyle name="20% - Accent3 3" xfId="59" xr:uid="{17791C8F-F1B6-49B6-877A-6375D57768AB}"/>
    <cellStyle name="20% - Accent3 4" xfId="60" xr:uid="{E9F23431-D84D-4D6D-A763-50EE367BB424}"/>
    <cellStyle name="20% - Accent4 2" xfId="61" xr:uid="{73F215BD-76C0-425F-9F41-4678B67D0BB8}"/>
    <cellStyle name="20% - Accent4 2 2" xfId="62" xr:uid="{BD5022A3-E417-41D6-904A-F2D8878395D6}"/>
    <cellStyle name="20% - Accent4 2 3" xfId="63" xr:uid="{89957E99-E430-4DFB-9076-6D5CE2EF58EF}"/>
    <cellStyle name="20% - Accent4 2 4" xfId="64" xr:uid="{8268D9F2-A963-4A1E-AF75-51F015DCEDC0}"/>
    <cellStyle name="20% - Accent4 2 5" xfId="65" xr:uid="{B140EF6B-340E-4A0F-A1FF-EA6DF7FE7D87}"/>
    <cellStyle name="20% - Accent4 2 6" xfId="66" xr:uid="{4772A797-9FC7-4D60-9F3E-E1D00E27E11C}"/>
    <cellStyle name="20% - Accent4 2 7" xfId="67" xr:uid="{EFAD2DCB-25FE-4845-A57B-87DE9F421EDF}"/>
    <cellStyle name="20% - Accent4 2 8" xfId="68" xr:uid="{569D261F-CCE3-48D5-996C-CD7D8A11345D}"/>
    <cellStyle name="20% - Accent4 3" xfId="69" xr:uid="{11366FF4-F9F1-494D-A621-16F185DF8C94}"/>
    <cellStyle name="20% - Accent4 4" xfId="70" xr:uid="{2E6019AE-A8FD-472D-B5E3-0FCEE6361EFE}"/>
    <cellStyle name="20% - Accent5" xfId="26" builtinId="46" customBuiltin="1"/>
    <cellStyle name="20% - Accent5 2" xfId="71" xr:uid="{CE292BDA-995B-4321-8A22-37462FB932CB}"/>
    <cellStyle name="20% - Accent5 2 2" xfId="72" xr:uid="{CA412417-8190-4621-9B93-A2BC9801FDE1}"/>
    <cellStyle name="20% - Accent5 2 3" xfId="73" xr:uid="{C8FEC4F7-D848-4475-A8C1-B4D04FCB9BB0}"/>
    <cellStyle name="20% - Accent5 2 4" xfId="74" xr:uid="{44B8F921-128A-4540-A99A-0A1CE8350044}"/>
    <cellStyle name="20% - Accent5 2 5" xfId="75" xr:uid="{13865476-9066-47E6-9F83-88721E4A04BA}"/>
    <cellStyle name="20% - Accent5 2 6" xfId="76" xr:uid="{8A2B7EED-C884-4499-A22C-1759390E73FB}"/>
    <cellStyle name="20% - Accent5 2 7" xfId="77" xr:uid="{FA07D9D6-B290-44B5-B384-5F0978547DCF}"/>
    <cellStyle name="20% - Accent5 2 8" xfId="78" xr:uid="{5E2B5D69-FCF6-4125-AC68-BEF79755CC21}"/>
    <cellStyle name="20% - Accent5 3" xfId="79" xr:uid="{01CE71FB-EE62-4B8B-9E3D-B38FC06E95E2}"/>
    <cellStyle name="20% - Accent6" xfId="29" builtinId="50" customBuiltin="1"/>
    <cellStyle name="20% - Accent6 2" xfId="80" xr:uid="{079E90A5-7F41-4E43-91A8-BA51A966182F}"/>
    <cellStyle name="20% - Accent6 2 2" xfId="81" xr:uid="{A5B28965-BEDA-4999-963B-2AE512EF55B3}"/>
    <cellStyle name="20% - Accent6 2 3" xfId="82" xr:uid="{D60D37A0-E3F2-4073-B9F4-CEF5B2A8BF25}"/>
    <cellStyle name="20% - Accent6 2 4" xfId="83" xr:uid="{E41195BF-C16D-4D7E-ACCB-23816EC1CEB4}"/>
    <cellStyle name="20% - Accent6 2 5" xfId="84" xr:uid="{1209E1AF-8DAC-4F8B-ADC5-D36C4F822739}"/>
    <cellStyle name="20% - Accent6 2 6" xfId="85" xr:uid="{16935B55-C772-4E6F-94CC-E43B9D7BC30B}"/>
    <cellStyle name="20% - Accent6 2 7" xfId="86" xr:uid="{44CC6253-7C43-47F9-B15E-A9B3871A825D}"/>
    <cellStyle name="20% - Accent6 2 8" xfId="87" xr:uid="{85E2DCDF-216F-4E4D-AD84-389995C6D974}"/>
    <cellStyle name="20% - Accent6 3" xfId="88" xr:uid="{4C39FCD8-AED3-4641-8535-A59C76538673}"/>
    <cellStyle name="20% - Accent6 3 2" xfId="89" xr:uid="{650FE6E8-E8DE-46F3-AF02-571BA5E86BC6}"/>
    <cellStyle name="40% - Accent1" xfId="19" builtinId="31" customBuiltin="1"/>
    <cellStyle name="40% - Accent1 2" xfId="90" xr:uid="{61F83FBD-2495-4E39-B477-D3FD37CD983B}"/>
    <cellStyle name="40% - Accent1 2 2" xfId="91" xr:uid="{BB3C089A-EAF7-4B5C-B385-EF7F1B9EA6D6}"/>
    <cellStyle name="40% - Accent1 2 3" xfId="92" xr:uid="{0ACCB47C-5484-4457-97AE-FCA8F3F084C5}"/>
    <cellStyle name="40% - Accent1 2 4" xfId="93" xr:uid="{9F536D42-A841-4019-B167-232960861631}"/>
    <cellStyle name="40% - Accent1 2 5" xfId="94" xr:uid="{46B16E22-9E26-44AA-86F3-6A76F3055054}"/>
    <cellStyle name="40% - Accent1 2 6" xfId="95" xr:uid="{D654F2BB-20D6-499C-A21A-293CB1CA96E1}"/>
    <cellStyle name="40% - Accent1 2 7" xfId="96" xr:uid="{B37148A3-CE83-4B95-8ED8-5D664F874BFD}"/>
    <cellStyle name="40% - Accent1 2 8" xfId="97" xr:uid="{C27C0FF5-638F-45D0-A7F2-61A02A1961E9}"/>
    <cellStyle name="40% - Accent1 3" xfId="98" xr:uid="{67BF3A39-35E9-4288-BDCA-43662A69099B}"/>
    <cellStyle name="40% - Accent2" xfId="21" builtinId="35" customBuiltin="1"/>
    <cellStyle name="40% - Accent2 2" xfId="99" xr:uid="{9A930DED-5E58-4844-A0E7-1E154187729B}"/>
    <cellStyle name="40% - Accent2 2 2" xfId="100" xr:uid="{87F1B695-6D88-4052-8E8A-13555D2EF729}"/>
    <cellStyle name="40% - Accent2 2 3" xfId="101" xr:uid="{FA9DCE93-D8B4-438B-8897-6D06DFCEA598}"/>
    <cellStyle name="40% - Accent2 2 4" xfId="102" xr:uid="{3E3F1746-B8FB-4593-801D-F7C16666E723}"/>
    <cellStyle name="40% - Accent2 2 5" xfId="103" xr:uid="{92F41896-9CA0-490E-A138-B273683D5E7F}"/>
    <cellStyle name="40% - Accent2 2 6" xfId="104" xr:uid="{A0F03E15-A304-4E89-97F8-3B6A81D4E03E}"/>
    <cellStyle name="40% - Accent2 2 7" xfId="105" xr:uid="{80047C49-B467-4B94-B1CD-9CFD9EF9DFBA}"/>
    <cellStyle name="40% - Accent2 2 8" xfId="106" xr:uid="{BEE249F5-ECBE-49BE-A872-559FE19398A6}"/>
    <cellStyle name="40% - Accent2 3" xfId="107" xr:uid="{E89562FD-3AE6-4CDF-9353-2F4C18333612}"/>
    <cellStyle name="40% - Accent3 2" xfId="108" xr:uid="{4A7952A8-BE78-4687-B83B-F125AF1FF087}"/>
    <cellStyle name="40% - Accent3 2 2" xfId="109" xr:uid="{9682AF16-4A76-4723-85E0-C020700810D3}"/>
    <cellStyle name="40% - Accent3 2 3" xfId="110" xr:uid="{2A725B7D-8035-4590-83FA-A25E590CEF40}"/>
    <cellStyle name="40% - Accent3 2 4" xfId="111" xr:uid="{E65AE038-1B8F-4A48-AC94-D46B63319599}"/>
    <cellStyle name="40% - Accent3 2 5" xfId="112" xr:uid="{B9F3C3B3-7EA7-44AE-AEC2-EC11AC3E0532}"/>
    <cellStyle name="40% - Accent3 2 6" xfId="113" xr:uid="{59DD4FBB-097B-432D-AA60-65DBEB1DE4ED}"/>
    <cellStyle name="40% - Accent3 2 7" xfId="114" xr:uid="{295A2510-9072-4F40-B8D3-F69EDB5A34C3}"/>
    <cellStyle name="40% - Accent3 2 8" xfId="115" xr:uid="{F2DF4763-C363-43A1-8DA2-FBB652857C15}"/>
    <cellStyle name="40% - Accent3 3" xfId="116" xr:uid="{06CBC925-4C25-4DE5-854A-33B6F1886949}"/>
    <cellStyle name="40% - Accent3 4" xfId="117" xr:uid="{F2A90FC6-4A40-40DA-8641-8347D7061F36}"/>
    <cellStyle name="40% - Accent4" xfId="24" builtinId="43" customBuiltin="1"/>
    <cellStyle name="40% - Accent4 2" xfId="118" xr:uid="{7042EF1B-5CB8-4B51-A758-3DCC6CBF711C}"/>
    <cellStyle name="40% - Accent4 2 2" xfId="119" xr:uid="{E52766D5-F6D9-4670-B327-9285FF093D29}"/>
    <cellStyle name="40% - Accent4 2 3" xfId="120" xr:uid="{2E85C90F-457A-4B3C-861F-28BB9477EB66}"/>
    <cellStyle name="40% - Accent4 2 4" xfId="121" xr:uid="{D5DDC8E0-B083-43DB-8DE4-62B7B61E7E2E}"/>
    <cellStyle name="40% - Accent4 2 5" xfId="122" xr:uid="{4F828A8D-3ABC-4B9E-8E8A-B97E797028E4}"/>
    <cellStyle name="40% - Accent4 2 6" xfId="123" xr:uid="{DF6B620D-8D6C-48F9-B931-041E653257CD}"/>
    <cellStyle name="40% - Accent4 2 7" xfId="124" xr:uid="{8FA76ABC-D4B7-479A-8755-A0BE672CFCFE}"/>
    <cellStyle name="40% - Accent4 2 8" xfId="125" xr:uid="{7AE76629-CC71-45AE-A922-AD2B2B61ADFD}"/>
    <cellStyle name="40% - Accent4 3" xfId="126" xr:uid="{04B17AA0-7963-4554-AB0B-E4AEB8098038}"/>
    <cellStyle name="40% - Accent5" xfId="27" builtinId="47" customBuiltin="1"/>
    <cellStyle name="40% - Accent5 2" xfId="127" xr:uid="{5E8A62FA-4165-4F83-BE85-1F359AB84065}"/>
    <cellStyle name="40% - Accent5 2 2" xfId="128" xr:uid="{92699139-FE65-403C-AEB2-2362FEE9FAB2}"/>
    <cellStyle name="40% - Accent5 2 3" xfId="129" xr:uid="{5A401EAD-C416-4CE3-A282-8E4A9C28FEA9}"/>
    <cellStyle name="40% - Accent5 2 4" xfId="130" xr:uid="{80C904AC-BE5A-43D1-85B7-1EEA30BF1322}"/>
    <cellStyle name="40% - Accent5 2 5" xfId="131" xr:uid="{198E4094-55BA-4AE6-A7D5-D3B3CD4CDB58}"/>
    <cellStyle name="40% - Accent5 2 6" xfId="132" xr:uid="{8FBE5AD3-2580-428C-A841-415A90BC132A}"/>
    <cellStyle name="40% - Accent5 2 7" xfId="133" xr:uid="{227E33EA-A533-4D02-A19C-B2B05EE63774}"/>
    <cellStyle name="40% - Accent5 2 8" xfId="134" xr:uid="{5C173EEA-5C7B-47A8-97DC-66B1AA3E9BC1}"/>
    <cellStyle name="40% - Accent5 3" xfId="135" xr:uid="{0DCD6677-F2BE-4E29-B8FB-45049BBE62D7}"/>
    <cellStyle name="40% - Accent6" xfId="30" builtinId="51" customBuiltin="1"/>
    <cellStyle name="40% - Accent6 2" xfId="136" xr:uid="{301EF421-0170-4AC6-A038-033436259F7F}"/>
    <cellStyle name="40% - Accent6 2 2" xfId="137" xr:uid="{5FB77188-6F75-4B2A-B983-83B877E63D82}"/>
    <cellStyle name="40% - Accent6 2 3" xfId="138" xr:uid="{1C05DBB1-7AC6-4F7F-9C35-E8A4A92A0E70}"/>
    <cellStyle name="40% - Accent6 2 4" xfId="139" xr:uid="{4C8C5F16-F3DB-4903-A50A-0511C6BCD2F9}"/>
    <cellStyle name="40% - Accent6 2 5" xfId="140" xr:uid="{B95E6881-0617-45A4-82EF-CDE3EBBFB186}"/>
    <cellStyle name="40% - Accent6 2 6" xfId="141" xr:uid="{01F1020A-935E-4625-AE77-69C7E70C5782}"/>
    <cellStyle name="40% - Accent6 2 7" xfId="142" xr:uid="{E90867ED-8174-4798-A97A-6BD7A14BD683}"/>
    <cellStyle name="40% - Accent6 2 8" xfId="143" xr:uid="{1441F885-1C94-4C05-9A97-D454CCD3A4BF}"/>
    <cellStyle name="40% - Accent6 3" xfId="144" xr:uid="{1F175F61-0919-4785-A5B0-E19F6A035C4B}"/>
    <cellStyle name="60% - Accent1 2" xfId="145" xr:uid="{949E296E-7D99-4162-8E01-240F142A7BD7}"/>
    <cellStyle name="60% - Accent1 2 2" xfId="146" xr:uid="{E6BBFFA7-1BEA-446F-834D-0EDE9375688E}"/>
    <cellStyle name="60% - Accent1 2 3" xfId="147" xr:uid="{A2E0166C-C9DE-408A-B264-4FC4E230C677}"/>
    <cellStyle name="60% - Accent1 2 4" xfId="148" xr:uid="{69D57B00-A0BE-487F-A161-ED7350161426}"/>
    <cellStyle name="60% - Accent1 2 5" xfId="149" xr:uid="{3685A6B6-3A40-4433-9F90-2306B9C0C9C3}"/>
    <cellStyle name="60% - Accent1 2 6" xfId="150" xr:uid="{3BCB80BE-9822-4AF4-B63D-3E4487E91E4D}"/>
    <cellStyle name="60% - Accent1 2 7" xfId="151" xr:uid="{4126EF9F-D6C0-428E-984C-3A8A5214E1F6}"/>
    <cellStyle name="60% - Accent1 2 8" xfId="152" xr:uid="{4C42CFCD-8B68-4E8F-98E1-0E07B305E779}"/>
    <cellStyle name="60% - Accent2 2" xfId="153" xr:uid="{3190E8C2-B84B-4B14-9769-3FC8FCFB5D90}"/>
    <cellStyle name="60% - Accent2 2 2" xfId="154" xr:uid="{1AD41283-6C8D-4C07-B25C-080B541F5E9F}"/>
    <cellStyle name="60% - Accent2 2 3" xfId="155" xr:uid="{90DFF989-FED6-456C-8EFC-F2EC5592F242}"/>
    <cellStyle name="60% - Accent2 2 4" xfId="156" xr:uid="{EA3D6D27-DA17-4A84-BB7F-CF6C78AD7F89}"/>
    <cellStyle name="60% - Accent2 2 5" xfId="157" xr:uid="{6640AE56-87C2-4804-9DB6-42EA79125D1D}"/>
    <cellStyle name="60% - Accent2 2 6" xfId="158" xr:uid="{279AA735-6939-4EE2-A4A1-EA6FA3E17D14}"/>
    <cellStyle name="60% - Accent2 2 7" xfId="159" xr:uid="{591CE411-6D5E-43A1-8D66-D33467780059}"/>
    <cellStyle name="60% - Accent2 2 8" xfId="160" xr:uid="{E0035937-6004-4AFE-829E-AF89B403D583}"/>
    <cellStyle name="60% - Accent3 2" xfId="161" xr:uid="{B0988758-1EC9-4FB7-BE99-07916189AD86}"/>
    <cellStyle name="60% - Accent3 2 2" xfId="162" xr:uid="{84AC9C67-859B-4720-BF5F-F0018ED6BFA7}"/>
    <cellStyle name="60% - Accent3 2 3" xfId="163" xr:uid="{E0FAC8A7-E1CC-4865-B123-769EF417D53E}"/>
    <cellStyle name="60% - Accent3 2 4" xfId="164" xr:uid="{5272A3D1-6200-4A8B-925F-A4A2BE0E2647}"/>
    <cellStyle name="60% - Accent3 2 5" xfId="165" xr:uid="{643C18C0-5DE4-458A-A36F-C73316ACB6E6}"/>
    <cellStyle name="60% - Accent3 2 6" xfId="166" xr:uid="{A457B6E4-2F70-4CB7-95DB-AC21069290C1}"/>
    <cellStyle name="60% - Accent3 2 7" xfId="167" xr:uid="{63BFC2E6-F10A-4F41-8F53-AFC75A838DD0}"/>
    <cellStyle name="60% - Accent3 2 8" xfId="168" xr:uid="{96E39874-A859-40F2-9B2A-3FC34FF0FFBF}"/>
    <cellStyle name="60% - Accent4 2" xfId="169" xr:uid="{4D3DB94C-6D22-4E37-B146-F1E560651B70}"/>
    <cellStyle name="60% - Accent4 2 2" xfId="170" xr:uid="{067D00FE-FC18-454C-95C2-564DFD1B05C3}"/>
    <cellStyle name="60% - Accent4 2 3" xfId="171" xr:uid="{8F6EAB61-80DE-4A68-AF4B-9D919355321B}"/>
    <cellStyle name="60% - Accent4 2 4" xfId="172" xr:uid="{8AA17408-A456-4DE8-AF69-60DC5519A511}"/>
    <cellStyle name="60% - Accent4 2 5" xfId="173" xr:uid="{7E4D0610-0A5E-466C-9B0F-17181613871C}"/>
    <cellStyle name="60% - Accent4 2 6" xfId="174" xr:uid="{59AC8B6B-5A5B-44B3-B2F1-CEE29F1C1DFB}"/>
    <cellStyle name="60% - Accent4 2 7" xfId="175" xr:uid="{4D39468D-AA15-46B5-8093-E8351CA83C73}"/>
    <cellStyle name="60% - Accent4 2 8" xfId="176" xr:uid="{4ABC4FEC-B9D7-4D4A-9421-4EAA288AEAE1}"/>
    <cellStyle name="60% - Accent5 2" xfId="177" xr:uid="{AD2B94AB-5284-4375-BAE8-54B00936D101}"/>
    <cellStyle name="60% - Accent5 2 2" xfId="178" xr:uid="{167F4531-6C27-4A01-999B-C91B7F1CFD0B}"/>
    <cellStyle name="60% - Accent5 2 3" xfId="179" xr:uid="{1E7FAFBB-3D9E-4BB3-8E41-B824FAF42FCA}"/>
    <cellStyle name="60% - Accent5 2 4" xfId="180" xr:uid="{F2627E0D-B897-4861-BE5A-11297EA6205A}"/>
    <cellStyle name="60% - Accent5 2 5" xfId="181" xr:uid="{AB3CE932-3801-442D-99EB-10DEFE64069D}"/>
    <cellStyle name="60% - Accent5 2 6" xfId="182" xr:uid="{CF86CD60-1400-4030-9DBA-059181F944FF}"/>
    <cellStyle name="60% - Accent5 2 7" xfId="183" xr:uid="{6C4A7254-1A66-42BB-AD66-CE24E67D3D4C}"/>
    <cellStyle name="60% - Accent5 2 8" xfId="184" xr:uid="{0A1AECBB-AD87-4963-8FFB-83F25B16B883}"/>
    <cellStyle name="60% - Accent6 2" xfId="185" xr:uid="{C7B82940-CEDE-468F-B13F-824A6AB2EFDF}"/>
    <cellStyle name="60% - Accent6 2 2" xfId="186" xr:uid="{55FFBD14-8F65-46FD-9AFE-B45DB618A61E}"/>
    <cellStyle name="60% - Accent6 2 3" xfId="187" xr:uid="{9A138375-4B05-4977-8E56-EEAF457907AB}"/>
    <cellStyle name="60% - Accent6 2 4" xfId="188" xr:uid="{8225DB9B-30E9-485E-BCF4-835C336AEAEF}"/>
    <cellStyle name="60% - Accent6 2 5" xfId="189" xr:uid="{328733C1-482E-4907-A0E9-30E32C68C301}"/>
    <cellStyle name="60% - Accent6 2 6" xfId="190" xr:uid="{CED5BB2A-BB6E-481D-9A84-93C922D15F00}"/>
    <cellStyle name="60% - Accent6 2 7" xfId="191" xr:uid="{459571FD-9F6F-47A8-A3F8-FAC938F1DE56}"/>
    <cellStyle name="60% - Accent6 2 8" xfId="192" xr:uid="{BE89B1A7-61A8-4A62-96BC-E88241C07530}"/>
    <cellStyle name="Accent1" xfId="18" builtinId="29" customBuiltin="1"/>
    <cellStyle name="Accent1 2 2" xfId="193" xr:uid="{09A07CCD-EF08-4045-9A48-EA803EC9CDB6}"/>
    <cellStyle name="Accent1 2 3" xfId="194" xr:uid="{171675FB-103B-46AD-A09F-6634162A1979}"/>
    <cellStyle name="Accent1 2 4" xfId="195" xr:uid="{895B0A9F-5D79-4258-BFB0-5C12ED8D7DAC}"/>
    <cellStyle name="Accent1 2 5" xfId="196" xr:uid="{B1EAFE04-A31F-4CC2-8DF5-6DD2F677AEEC}"/>
    <cellStyle name="Accent1 2 6" xfId="197" xr:uid="{92B78AFB-27E4-4A29-B12D-DC6105E44F90}"/>
    <cellStyle name="Accent1 2 7" xfId="198" xr:uid="{B51F6EC9-DC2B-487B-B9BA-475AAC22F41B}"/>
    <cellStyle name="Accent1 2 8" xfId="199" xr:uid="{2F3E8EC8-71A7-4A36-84E2-EC8A53DC42C6}"/>
    <cellStyle name="Accent2" xfId="20" builtinId="33" customBuiltin="1"/>
    <cellStyle name="Accent2 2 2" xfId="200" xr:uid="{DBE5B50E-A63F-4FD5-A072-7AFFBA229936}"/>
    <cellStyle name="Accent2 2 3" xfId="201" xr:uid="{7978A2FD-D43E-4ED6-9683-0B2D872A498E}"/>
    <cellStyle name="Accent2 2 4" xfId="202" xr:uid="{1967C832-CBD1-4DE0-AC49-6A69DE2A1B74}"/>
    <cellStyle name="Accent2 2 5" xfId="203" xr:uid="{253545D1-A961-4383-B510-EEFB6459BC47}"/>
    <cellStyle name="Accent2 2 6" xfId="204" xr:uid="{6CF9EC86-ECEC-47D0-91A6-15127CE74A2A}"/>
    <cellStyle name="Accent2 2 7" xfId="205" xr:uid="{0F0D5707-9455-4AB1-8BF6-EDFD7F53EED0}"/>
    <cellStyle name="Accent2 2 8" xfId="206" xr:uid="{4FB9EED0-530E-4815-8C38-F1D49D0AE298}"/>
    <cellStyle name="Accent3" xfId="22" builtinId="37" customBuiltin="1"/>
    <cellStyle name="Accent3 2 2" xfId="207" xr:uid="{FAC7B7F4-7C86-4C3B-8DE3-5FC8A7882E7F}"/>
    <cellStyle name="Accent3 2 3" xfId="208" xr:uid="{CE93420E-D76B-4906-9E69-225E88146092}"/>
    <cellStyle name="Accent3 2 4" xfId="209" xr:uid="{78364132-157B-4BFA-A9ED-0BDF37120EE9}"/>
    <cellStyle name="Accent3 2 5" xfId="210" xr:uid="{7653F752-24E9-4A2F-B062-A1B71F017E97}"/>
    <cellStyle name="Accent3 2 6" xfId="211" xr:uid="{86192547-B264-4E6F-A64B-4C8A5F7969D3}"/>
    <cellStyle name="Accent3 2 7" xfId="212" xr:uid="{36DB6783-3C26-418C-9516-6B3B2FC1E2FF}"/>
    <cellStyle name="Accent3 2 8" xfId="213" xr:uid="{379316D0-0172-4906-90A7-EF5CDBF77B8B}"/>
    <cellStyle name="Accent4" xfId="23" builtinId="41" customBuiltin="1"/>
    <cellStyle name="Accent4 2 2" xfId="214" xr:uid="{D27E51E6-26EC-492C-9BB6-012B7F046A10}"/>
    <cellStyle name="Accent4 2 3" xfId="215" xr:uid="{83BC2D0C-21F8-4EC6-B427-04ECE80FAFAC}"/>
    <cellStyle name="Accent4 2 4" xfId="216" xr:uid="{30777214-D116-4FA1-AF3D-55ABB142B0BA}"/>
    <cellStyle name="Accent4 2 5" xfId="217" xr:uid="{3F14055E-4466-4D21-9804-E8C01FA6927C}"/>
    <cellStyle name="Accent4 2 6" xfId="218" xr:uid="{EA0F0F1D-23DA-4BB6-B4D5-C0B12CC57FF9}"/>
    <cellStyle name="Accent4 2 7" xfId="219" xr:uid="{FBDC687E-80AB-43CB-ABFC-756DF7A153A0}"/>
    <cellStyle name="Accent4 2 8" xfId="220" xr:uid="{EE8E3813-A4EF-4FBE-BE60-7659A5596262}"/>
    <cellStyle name="Accent5" xfId="25" builtinId="45" customBuiltin="1"/>
    <cellStyle name="Accent5 2 2" xfId="221" xr:uid="{5DD8F3EA-0EC4-4E60-9730-CAFE57D9F4CD}"/>
    <cellStyle name="Accent5 2 3" xfId="222" xr:uid="{DFAB5393-5D41-4E25-9294-737E264BC9BD}"/>
    <cellStyle name="Accent5 2 4" xfId="223" xr:uid="{3C5DA24D-B168-4330-A9D8-C14F945E8D8F}"/>
    <cellStyle name="Accent5 2 5" xfId="224" xr:uid="{97765CD2-FD90-4B5B-BB8A-CB32334C7135}"/>
    <cellStyle name="Accent5 2 6" xfId="225" xr:uid="{7231A55E-3679-4700-B896-62D2301C59DB}"/>
    <cellStyle name="Accent5 2 7" xfId="226" xr:uid="{3AB57C90-2D91-4DF7-8969-CBA1A3C3BB97}"/>
    <cellStyle name="Accent5 2 8" xfId="227" xr:uid="{9B882AAF-9333-43E2-9494-61A2BE330F12}"/>
    <cellStyle name="Accent6" xfId="28" builtinId="49" customBuiltin="1"/>
    <cellStyle name="Accent6 2 2" xfId="228" xr:uid="{5EB02D4D-AB3F-48DE-BE92-540831BA0648}"/>
    <cellStyle name="Accent6 2 3" xfId="229" xr:uid="{1E53EA39-685C-425B-8983-24D1981237BC}"/>
    <cellStyle name="Accent6 2 4" xfId="230" xr:uid="{7DF8C3A5-BD00-4001-8121-D8BEBF6C36F4}"/>
    <cellStyle name="Accent6 2 5" xfId="231" xr:uid="{1CCC730C-4B54-4DE3-B63C-77B67475197E}"/>
    <cellStyle name="Accent6 2 6" xfId="232" xr:uid="{088F889C-1E89-4571-B766-7000BEB445C8}"/>
    <cellStyle name="Accent6 2 7" xfId="233" xr:uid="{2331FB78-ABF5-4379-B16C-F263B9BC2221}"/>
    <cellStyle name="Accent6 2 8" xfId="234" xr:uid="{398B5BE4-3998-486D-97B1-2B269BF96EAB}"/>
    <cellStyle name="Bad" xfId="9" builtinId="27" customBuiltin="1"/>
    <cellStyle name="Bad 2 2" xfId="235" xr:uid="{47F7E0CD-8715-4D04-8B3D-C8AC5B5F26F8}"/>
    <cellStyle name="Bad 2 3" xfId="236" xr:uid="{702E297D-2EC0-48C9-ACC7-FAC92CA98839}"/>
    <cellStyle name="Bad 2 4" xfId="237" xr:uid="{01CF345D-918B-4921-ACCF-1F588C72746B}"/>
    <cellStyle name="Bad 2 5" xfId="238" xr:uid="{24676849-244E-4BB4-908C-7FF108C2B4D3}"/>
    <cellStyle name="Bad 2 6" xfId="239" xr:uid="{1B0892B9-3C13-4DB6-B3CD-C4512FBFA013}"/>
    <cellStyle name="Bad 2 7" xfId="240" xr:uid="{20BCDCF8-8FD4-45C6-B26A-052AB67A5851}"/>
    <cellStyle name="Bad 2 8" xfId="241" xr:uid="{49771526-43A7-4676-AD57-ED535D7307BF}"/>
    <cellStyle name="Calculation" xfId="12" builtinId="22" customBuiltin="1"/>
    <cellStyle name="Calculation 2 2" xfId="242" xr:uid="{6E77B60A-D904-4081-A828-79C4B035712E}"/>
    <cellStyle name="Calculation 2 3" xfId="243" xr:uid="{C75864B3-CE82-4977-9DF3-7758A930DE61}"/>
    <cellStyle name="Calculation 2 4" xfId="244" xr:uid="{646C2340-282E-4E78-9D71-2F1C40F14112}"/>
    <cellStyle name="Calculation 2 5" xfId="245" xr:uid="{BEEE4E42-8333-4B50-B491-9065EF03F742}"/>
    <cellStyle name="Calculation 2 6" xfId="246" xr:uid="{08C54C85-8B57-49C3-B7CD-20D325FBEA53}"/>
    <cellStyle name="Calculation 2 7" xfId="247" xr:uid="{6C053B82-0D0B-4B74-82A8-E1BBAB686714}"/>
    <cellStyle name="Calculation 2 8" xfId="248" xr:uid="{BBE836CA-A736-4DC5-800C-28E8E66B5A41}"/>
    <cellStyle name="Check Cell" xfId="14" builtinId="23" customBuiltin="1"/>
    <cellStyle name="Check Cell 2 2" xfId="249" xr:uid="{B748C15E-9638-49C0-BF2B-0306F4BB0CD3}"/>
    <cellStyle name="Check Cell 2 3" xfId="250" xr:uid="{DD27B77C-02EE-4911-98BD-20A0A4791304}"/>
    <cellStyle name="Check Cell 2 4" xfId="251" xr:uid="{71883DD7-D2C1-456F-9FC3-946C77DB7C5F}"/>
    <cellStyle name="Check Cell 2 5" xfId="252" xr:uid="{2D842D22-17C6-4873-9EFA-A965EFB9C8A4}"/>
    <cellStyle name="Check Cell 2 6" xfId="253" xr:uid="{71E19CCD-C3B5-4753-8207-212277962C73}"/>
    <cellStyle name="Check Cell 2 7" xfId="254" xr:uid="{515AD025-036B-4160-843B-ABB6C62DED96}"/>
    <cellStyle name="Check Cell 2 8" xfId="255" xr:uid="{E6029BC0-3248-48EC-8145-19B23E08AF76}"/>
    <cellStyle name="Comma 10" xfId="257" xr:uid="{95DAFBA2-3C15-40B9-8E0B-1766A540AFD3}"/>
    <cellStyle name="Comma 10 10" xfId="258" xr:uid="{18BF85B5-A66B-40A9-8C33-4791E0A40880}"/>
    <cellStyle name="Comma 10 11" xfId="259" xr:uid="{9C26FC84-B332-4F03-8043-76C5B93EF11C}"/>
    <cellStyle name="Comma 10 2" xfId="260" xr:uid="{36DADE5B-4A6A-40BB-A7A4-B2AEAE3CC857}"/>
    <cellStyle name="Comma 10 2 2" xfId="261" xr:uid="{36F21D50-A113-4374-8522-35E25633C113}"/>
    <cellStyle name="Comma 10 2 3" xfId="262" xr:uid="{51A6B472-B215-4A94-9E6B-67EDD1EF42C1}"/>
    <cellStyle name="Comma 10 3" xfId="263" xr:uid="{9114AF09-FA98-4D0C-B141-319E1B5FAD7E}"/>
    <cellStyle name="Comma 10 3 2" xfId="264" xr:uid="{921733C7-8597-4D3F-AE08-494F492D2B23}"/>
    <cellStyle name="Comma 10 3 3" xfId="265" xr:uid="{2F4DE309-6D9D-4C5A-B596-29A61B0F5064}"/>
    <cellStyle name="Comma 10 4" xfId="266" xr:uid="{93CDC581-D4A0-44E0-B896-D8D279C7348A}"/>
    <cellStyle name="Comma 10 4 2" xfId="267" xr:uid="{12CFE7EA-2F0E-4ED4-BC5E-DBEB44D628F3}"/>
    <cellStyle name="Comma 10 4 3" xfId="268" xr:uid="{32EFE453-0AC5-4DB1-9E5A-22CA450F07EA}"/>
    <cellStyle name="Comma 10 5" xfId="269" xr:uid="{5523B371-A4A5-4901-83FF-84AC1F021285}"/>
    <cellStyle name="Comma 10 5 2" xfId="270" xr:uid="{F7FCF128-8595-41E2-805A-22B63DBAAD56}"/>
    <cellStyle name="Comma 10 5 3" xfId="271" xr:uid="{10BC4D81-0FD3-464E-820E-EED8CDCE125D}"/>
    <cellStyle name="Comma 10 6" xfId="272" xr:uid="{4888B906-B480-41E3-AC1D-27CBCBA78612}"/>
    <cellStyle name="Comma 10 6 2" xfId="273" xr:uid="{3662106E-E032-4983-8365-09C8C65847AA}"/>
    <cellStyle name="Comma 10 6 3" xfId="274" xr:uid="{87D4EC03-36CC-42E9-A5A4-D3EA4FC966C1}"/>
    <cellStyle name="Comma 10 7" xfId="275" xr:uid="{B876FE0C-A110-451E-B61B-07A1B11117EB}"/>
    <cellStyle name="Comma 10 7 2" xfId="276" xr:uid="{95D0C153-8624-40B3-AEFA-2FA3D551D3A8}"/>
    <cellStyle name="Comma 10 7 3" xfId="277" xr:uid="{FBA38F9F-7B08-4E68-8A42-8E4C849B67E4}"/>
    <cellStyle name="Comma 10 8" xfId="278" xr:uid="{E925FC45-FA5D-4D95-BE00-9F010ADEC62F}"/>
    <cellStyle name="Comma 10 8 2" xfId="279" xr:uid="{B5DFD398-94AC-428E-8BC7-B7D28A156FE0}"/>
    <cellStyle name="Comma 10 8 3" xfId="280" xr:uid="{C80040CA-813E-497B-8591-50E7B21E3035}"/>
    <cellStyle name="Comma 10 9" xfId="281" xr:uid="{C3D610C5-018F-4986-8C8D-5EBFF24721F7}"/>
    <cellStyle name="Comma 10 9 2" xfId="282" xr:uid="{EC65653E-6BB1-4ACF-801D-F5437BC2CCF6}"/>
    <cellStyle name="Comma 10 9 3" xfId="283" xr:uid="{146D22ED-7235-425C-BD17-91FCF03929BC}"/>
    <cellStyle name="Comma 11" xfId="284" xr:uid="{46EC9755-8AEC-4136-9A14-12371D782B06}"/>
    <cellStyle name="Comma 12" xfId="285" xr:uid="{7163FF1E-2133-4DE7-AFE3-748618AB5286}"/>
    <cellStyle name="Comma 12 2" xfId="286" xr:uid="{625A2FB4-EDAA-48E9-A73C-021739EAC944}"/>
    <cellStyle name="Comma 14 10" xfId="287" xr:uid="{BDD6FB65-A99C-49EE-BD69-03F6BEF3C8A5}"/>
    <cellStyle name="Comma 14 11" xfId="288" xr:uid="{074448F3-EC88-47E9-844E-89C110A5D356}"/>
    <cellStyle name="Comma 14 2" xfId="289" xr:uid="{8509C9A7-534A-4F63-A7F5-69EF4281AECF}"/>
    <cellStyle name="Comma 14 2 2" xfId="290" xr:uid="{5EFD91E4-06EC-4D48-A897-F29D3C0E1988}"/>
    <cellStyle name="Comma 14 2 3" xfId="291" xr:uid="{99990CB4-347F-49ED-96BB-273DC915C805}"/>
    <cellStyle name="Comma 14 3" xfId="292" xr:uid="{6FD8F0E2-F2ED-42EB-887E-2790A5910054}"/>
    <cellStyle name="Comma 14 3 2" xfId="293" xr:uid="{0ED588EC-0E86-4A44-B2D5-0EE96277F270}"/>
    <cellStyle name="Comma 14 3 3" xfId="294" xr:uid="{0CB38AA8-A228-4BD1-963A-32C85A6625BD}"/>
    <cellStyle name="Comma 14 4" xfId="295" xr:uid="{51C94F4D-CEBD-4637-8685-3D9A95391B4C}"/>
    <cellStyle name="Comma 14 4 2" xfId="296" xr:uid="{359BEDF1-A3E2-4A39-B775-4F47AE49A859}"/>
    <cellStyle name="Comma 14 4 3" xfId="297" xr:uid="{D902F8EE-9648-48DB-AEAB-2114A4FA8A6C}"/>
    <cellStyle name="Comma 14 5" xfId="298" xr:uid="{3FAB80F8-3A8A-4550-912A-90AF05B00583}"/>
    <cellStyle name="Comma 14 5 2" xfId="299" xr:uid="{E8B15130-821F-4BD5-84AF-3F9673982921}"/>
    <cellStyle name="Comma 14 5 3" xfId="300" xr:uid="{1C29769E-4747-4282-A63E-D8E3C219BF63}"/>
    <cellStyle name="Comma 14 6" xfId="301" xr:uid="{64C8509F-BD7A-4D1C-A018-84E97EBBDDD5}"/>
    <cellStyle name="Comma 14 6 2" xfId="302" xr:uid="{C58AC3CA-7792-42CA-8A62-21ADC39ECFF1}"/>
    <cellStyle name="Comma 14 6 3" xfId="303" xr:uid="{1779A18B-7FEB-4D11-AAD0-97FC3CDBA77B}"/>
    <cellStyle name="Comma 14 7" xfId="304" xr:uid="{EDF72534-1908-4FE5-9959-EE61C4BD5163}"/>
    <cellStyle name="Comma 14 7 2" xfId="305" xr:uid="{328A467F-CCAD-4F46-9732-0BC65AEB347D}"/>
    <cellStyle name="Comma 14 7 3" xfId="306" xr:uid="{18EC975C-911A-4F49-89E3-CD734AC46200}"/>
    <cellStyle name="Comma 14 8" xfId="307" xr:uid="{7BB88BD4-844A-447C-8219-6FCB9CA7015F}"/>
    <cellStyle name="Comma 14 8 2" xfId="308" xr:uid="{98B96E79-A2FC-43A6-9B39-546644ED483D}"/>
    <cellStyle name="Comma 14 8 3" xfId="309" xr:uid="{26DA329E-6449-42F2-9F3C-A8012AE95289}"/>
    <cellStyle name="Comma 14 9" xfId="310" xr:uid="{8D0F5130-4F8A-4A24-9E76-C524A87EDE03}"/>
    <cellStyle name="Comma 14 9 2" xfId="311" xr:uid="{53BA0361-3108-4214-B901-18E51C95EE78}"/>
    <cellStyle name="Comma 14 9 3" xfId="312" xr:uid="{172F851E-F431-44A4-8553-5FAB23932D6A}"/>
    <cellStyle name="Comma 15 2" xfId="313" xr:uid="{AA2CF6FC-1CD2-42C0-BD6A-B977EFD8FBE7}"/>
    <cellStyle name="Comma 15 2 2" xfId="314" xr:uid="{06CF674A-7AD2-41E5-83E6-1E18846A250D}"/>
    <cellStyle name="Comma 15 2 3" xfId="315" xr:uid="{E7D2EE8E-5721-4543-B246-6F1A28359759}"/>
    <cellStyle name="Comma 15 3" xfId="316" xr:uid="{7E53950F-1B22-4B0F-8A68-51EC4D6048EA}"/>
    <cellStyle name="Comma 15 3 2" xfId="317" xr:uid="{D6184E24-D4DB-4AB4-83AB-FEFD5DCD1C6A}"/>
    <cellStyle name="Comma 15 3 3" xfId="318" xr:uid="{E4D2EF48-613C-44E2-93F4-4DEB10B32217}"/>
    <cellStyle name="Comma 15 4" xfId="319" xr:uid="{8A3D375C-85A0-4C31-9D5C-C477DDE113AE}"/>
    <cellStyle name="Comma 15 4 2" xfId="320" xr:uid="{CED39BE1-BD47-40CB-AE6B-4F030FC4056F}"/>
    <cellStyle name="Comma 15 4 3" xfId="321" xr:uid="{3DE3CC8D-3D60-4D58-B373-9543E61AD804}"/>
    <cellStyle name="Comma 15 5" xfId="322" xr:uid="{CA828DAB-6908-4B57-8403-C8169F6F5BF8}"/>
    <cellStyle name="Comma 15 5 2" xfId="323" xr:uid="{3D1C82A2-783C-461D-B64B-921419C59B5F}"/>
    <cellStyle name="Comma 15 5 3" xfId="324" xr:uid="{AB1F450D-9B5D-46C8-A6D6-7BCF76BBCB77}"/>
    <cellStyle name="Comma 15 6" xfId="325" xr:uid="{3D27C874-FB39-4E88-96E4-89BEAB689D08}"/>
    <cellStyle name="Comma 15 6 2" xfId="326" xr:uid="{71EA940E-B337-4E9F-9D23-FEFEEA7751E1}"/>
    <cellStyle name="Comma 15 6 3" xfId="327" xr:uid="{4A348682-9D26-4976-8125-D5673CF3DC93}"/>
    <cellStyle name="Comma 15 7" xfId="328" xr:uid="{4D5EB066-1C39-4E9B-AF3A-78EB335547FC}"/>
    <cellStyle name="Comma 15 7 2" xfId="329" xr:uid="{97A4A298-392C-4FB5-AD07-5A2C62DE93F0}"/>
    <cellStyle name="Comma 15 7 3" xfId="330" xr:uid="{E8B0E677-6127-4C1B-8CD1-BB723F6F9D69}"/>
    <cellStyle name="Comma 15 8" xfId="331" xr:uid="{C55F3A1D-06BC-4E78-A2AC-9EECA7D4AAD4}"/>
    <cellStyle name="Comma 15 8 2" xfId="332" xr:uid="{03A82B47-763A-489F-A489-64B921ACE20A}"/>
    <cellStyle name="Comma 15 9" xfId="333" xr:uid="{E6C390FA-7999-4B21-BE16-7309EBEAF51A}"/>
    <cellStyle name="Comma 15 9 2" xfId="334" xr:uid="{4A960D71-E926-48D7-A595-8B7B1D2DE382}"/>
    <cellStyle name="Comma 17 2" xfId="335" xr:uid="{66622F69-80CA-46F2-9A75-FFC59C085A19}"/>
    <cellStyle name="Comma 17 3" xfId="336" xr:uid="{96DF579A-20E3-4C59-9EBD-8C8917C023E7}"/>
    <cellStyle name="Comma 17 4" xfId="337" xr:uid="{CA7CF89D-8BD7-4B63-AF03-642461F6DDA2}"/>
    <cellStyle name="Comma 17 5" xfId="338" xr:uid="{CA3ACC3E-CD9B-4793-88BC-308E23842411}"/>
    <cellStyle name="Comma 17 6" xfId="339" xr:uid="{DE955DBA-2390-4E30-8143-A5F9607BE0DC}"/>
    <cellStyle name="Comma 17 7" xfId="340" xr:uid="{5875D9AF-4EAE-46BE-8385-92756F56F905}"/>
    <cellStyle name="Comma 17 8" xfId="341" xr:uid="{37B9341B-D3B8-4459-A0CF-1EFAA0F63820}"/>
    <cellStyle name="Comma 18 2" xfId="342" xr:uid="{4F1457C7-270C-40CA-9447-C4F3CB70D2DC}"/>
    <cellStyle name="Comma 18 3" xfId="343" xr:uid="{136D80F3-D042-4761-B08D-13BB610BF76E}"/>
    <cellStyle name="Comma 18 4" xfId="344" xr:uid="{9DFB4417-E16C-463E-B67E-F125EF89E7E8}"/>
    <cellStyle name="Comma 18 5" xfId="345" xr:uid="{7C0CBF71-FCBF-482A-ACFB-16DABA0418B0}"/>
    <cellStyle name="Comma 18 6" xfId="346" xr:uid="{A6DFF992-C29F-4753-A8C2-BB42EFC81692}"/>
    <cellStyle name="Comma 18 7" xfId="347" xr:uid="{44846B10-EEFA-427B-9F74-183BC9AC84CF}"/>
    <cellStyle name="Comma 18 8" xfId="348" xr:uid="{2CEFA563-7332-4C61-91A2-B5A35FFC3D4A}"/>
    <cellStyle name="Comma 2" xfId="349" xr:uid="{296A19C0-698D-4DB5-8CEA-EDD194E79449}"/>
    <cellStyle name="Comma 2 10" xfId="350" xr:uid="{09B58F11-570D-4CB9-9D82-36052D5D7FDF}"/>
    <cellStyle name="Comma 2 10 2" xfId="351" xr:uid="{6EE4CA37-E007-4994-9EBB-D38D82D43154}"/>
    <cellStyle name="Comma 2 10 2 2" xfId="352" xr:uid="{406EBF3B-8432-4C9D-9E15-7F3DD7AE51E5}"/>
    <cellStyle name="Comma 2 10 3" xfId="353" xr:uid="{85EBA84E-AAA4-4993-B297-42ADF213CD79}"/>
    <cellStyle name="Comma 2 10 4" xfId="354" xr:uid="{80C41461-63E5-40DF-90AE-5CCB97EBEEAF}"/>
    <cellStyle name="Comma 2 10 5" xfId="355" xr:uid="{B18A728E-2A96-4A6F-B60F-9321D76557EA}"/>
    <cellStyle name="Comma 2 11" xfId="356" xr:uid="{A69D7336-BE05-469D-95F1-8C83C2AFD5CC}"/>
    <cellStyle name="Comma 2 11 2" xfId="357" xr:uid="{D3A04DC0-FC83-4A5E-9459-B6FB4816F7FD}"/>
    <cellStyle name="Comma 2 11 2 2" xfId="358" xr:uid="{838154F8-3D45-4433-ABCA-5A921032B415}"/>
    <cellStyle name="Comma 2 11 3" xfId="359" xr:uid="{32A35631-8CCE-43D1-9083-8EE731870063}"/>
    <cellStyle name="Comma 2 11 4" xfId="360" xr:uid="{3C7B5693-E4E2-49F6-A0ED-794DEB4DCC9D}"/>
    <cellStyle name="Comma 2 11 5" xfId="361" xr:uid="{29D64F9C-E035-4D94-8A8F-6C75F1B0852B}"/>
    <cellStyle name="Comma 2 12" xfId="362" xr:uid="{8B75EA84-5872-4423-9158-73943B2C484C}"/>
    <cellStyle name="Comma 2 13" xfId="363" xr:uid="{B07E9D9D-96DC-49A2-9507-7E362024990D}"/>
    <cellStyle name="Comma 2 14" xfId="364" xr:uid="{A2F34A1C-7F5B-4FA7-B216-8859C1F1EC01}"/>
    <cellStyle name="Comma 2 14 2" xfId="365" xr:uid="{9C1A49BC-AD86-41E0-822F-D6A9938941F1}"/>
    <cellStyle name="Comma 2 15" xfId="366" xr:uid="{5849CEE6-8548-4F72-9230-912B7C8B8483}"/>
    <cellStyle name="Comma 2 15 2" xfId="367" xr:uid="{56ABECA5-F1B0-49F6-B12C-2CA931C36982}"/>
    <cellStyle name="Comma 2 16" xfId="368" xr:uid="{92B03428-3595-439B-8EFB-D01B5A2DE994}"/>
    <cellStyle name="Comma 2 17" xfId="369" xr:uid="{D3CDCEE8-D95E-4076-94FF-9CB88300F975}"/>
    <cellStyle name="Comma 2 17 2" xfId="370" xr:uid="{77FFD691-0F82-4203-AE58-BC8252873A4A}"/>
    <cellStyle name="Comma 2 18" xfId="371" xr:uid="{65ACC1DB-1CAB-4720-9FEC-3D2B9B7A3AEC}"/>
    <cellStyle name="Comma 2 19" xfId="372" xr:uid="{DA589C68-C02A-4BFA-98B0-CBA34C10BF9F}"/>
    <cellStyle name="Comma 2 2" xfId="373" xr:uid="{96B3822E-F695-4729-BF77-DF11F0E9B21A}"/>
    <cellStyle name="Comma 2 2 10" xfId="374" xr:uid="{F5E52E56-880A-4E9B-AC9D-80B950E27C98}"/>
    <cellStyle name="Comma 2 2 2" xfId="375" xr:uid="{7454D7F0-BF10-4173-89EA-D618E1E1B901}"/>
    <cellStyle name="Comma 2 2 3" xfId="376" xr:uid="{B33B4944-430F-40BF-BDA4-C6BF3928E881}"/>
    <cellStyle name="Comma 2 2 4" xfId="377" xr:uid="{DC3D75FC-E2FA-4351-AE81-48BC67BFE9A2}"/>
    <cellStyle name="Comma 2 2 5" xfId="378" xr:uid="{641D0578-9EB2-4C85-B483-B5D5D91F90C5}"/>
    <cellStyle name="Comma 2 2 6" xfId="379" xr:uid="{B5498743-D421-4A28-8794-86D677F4A71A}"/>
    <cellStyle name="Comma 2 2 7" xfId="380" xr:uid="{8C128DE1-47AF-4648-9E49-1AFDFC05C24B}"/>
    <cellStyle name="Comma 2 2 8" xfId="381" xr:uid="{781044AA-4258-4031-A687-E3D7555CBA35}"/>
    <cellStyle name="Comma 2 2 9" xfId="382" xr:uid="{AEFC5423-CBA9-4D9C-88CB-49873FB6ACE4}"/>
    <cellStyle name="Comma 2 3" xfId="383" xr:uid="{8A851DBD-F653-4BEA-8C5F-5763469FC474}"/>
    <cellStyle name="Comma 2 4" xfId="384" xr:uid="{68AD8E05-FD33-4C70-BBDE-AA149974A28C}"/>
    <cellStyle name="Comma 2 4 2" xfId="385" xr:uid="{D06351C9-9946-4005-B276-1652380C1D2E}"/>
    <cellStyle name="Comma 2 4 3" xfId="386" xr:uid="{BF05BEE2-6193-403F-B867-C8753ECFB5F7}"/>
    <cellStyle name="Comma 2 4 4" xfId="387" xr:uid="{0105C3AC-2390-4F7B-A354-35939F01F719}"/>
    <cellStyle name="Comma 2 4 5" xfId="388" xr:uid="{FDB977FD-718E-4711-851C-2AB36E5B4DDE}"/>
    <cellStyle name="Comma 2 5" xfId="389" xr:uid="{67A88933-E097-475F-B0D4-74169F3D1C42}"/>
    <cellStyle name="Comma 2 5 10" xfId="390" xr:uid="{2D33F158-7E46-4AFD-B86B-0157D8729FD4}"/>
    <cellStyle name="Comma 2 5 2" xfId="391" xr:uid="{8647B5CF-D66C-422F-9E24-FB149381543E}"/>
    <cellStyle name="Comma 2 5 3" xfId="392" xr:uid="{014BD567-5B55-473D-9771-8C2463A7997C}"/>
    <cellStyle name="Comma 2 5 4" xfId="393" xr:uid="{9B670732-F72F-46E5-9D26-FD5425205163}"/>
    <cellStyle name="Comma 2 5 5" xfId="394" xr:uid="{3C7A9E57-C5CD-469E-A5F1-BAD7E4581648}"/>
    <cellStyle name="Comma 2 5 6" xfId="395" xr:uid="{56B26C91-A644-4ABB-ADA4-01BD49542AEB}"/>
    <cellStyle name="Comma 2 5 7" xfId="396" xr:uid="{435A1148-91C7-4758-B73C-A92C9E1751D9}"/>
    <cellStyle name="Comma 2 5 8" xfId="397" xr:uid="{CAFFAD21-22BC-4CA0-BE28-ACFB702688DA}"/>
    <cellStyle name="Comma 2 5 9" xfId="398" xr:uid="{1AC6434C-7F2B-4E4C-B2CA-B55FF2F86147}"/>
    <cellStyle name="Comma 2 6" xfId="399" xr:uid="{9E41BA09-C349-44B8-AA17-8F1FD267C0CD}"/>
    <cellStyle name="Comma 2 7" xfId="400" xr:uid="{8723974F-E2B7-4944-96D9-57C226C6AA31}"/>
    <cellStyle name="Comma 2 7 2" xfId="401" xr:uid="{11BA1EFC-9A36-4FB3-A441-0288D46B277F}"/>
    <cellStyle name="Comma 2 7 3" xfId="402" xr:uid="{7DF8865E-2018-4CFB-98A4-270C11F5C575}"/>
    <cellStyle name="Comma 2 7 4" xfId="403" xr:uid="{1611C6B2-21F5-425E-82C4-5904178151B3}"/>
    <cellStyle name="Comma 2 7 5" xfId="404" xr:uid="{94EA0015-F928-4631-9157-B8F1124F5DC5}"/>
    <cellStyle name="Comma 2 7 6" xfId="405" xr:uid="{C597D22C-BD2F-41EF-B568-8B30287DA1B7}"/>
    <cellStyle name="Comma 2 7 7" xfId="406" xr:uid="{AD3F4048-E228-472F-9C1E-0675FC6B70AA}"/>
    <cellStyle name="Comma 2 7 8" xfId="407" xr:uid="{AC19323D-AB15-400F-8068-8F0E5162E715}"/>
    <cellStyle name="Comma 2 8" xfId="408" xr:uid="{680EE253-2B51-4F3F-A815-87354AB49D81}"/>
    <cellStyle name="Comma 2 8 2" xfId="409" xr:uid="{CC09B01F-E8D2-4FCA-BD13-8A61005C39C8}"/>
    <cellStyle name="Comma 2 8 3" xfId="410" xr:uid="{9362A43F-00D5-446A-BB37-39654A5EA447}"/>
    <cellStyle name="Comma 2 9" xfId="411" xr:uid="{FEA8653A-5B9A-4157-9134-9A721468B564}"/>
    <cellStyle name="Comma 2 9 2" xfId="412" xr:uid="{D711F9D5-878C-4274-A515-0423D1790496}"/>
    <cellStyle name="Comma 2 9 3" xfId="413" xr:uid="{57DFC9A8-5AC7-4A37-86D8-C22774B2E862}"/>
    <cellStyle name="Comma 20 10" xfId="414" xr:uid="{BC5BC59E-C6B4-4A55-AF21-293BF3DBC8DB}"/>
    <cellStyle name="Comma 20 2" xfId="415" xr:uid="{62D4EAAE-073F-4AE9-B82E-A67539BD082E}"/>
    <cellStyle name="Comma 20 2 2" xfId="416" xr:uid="{77AD5CB7-ED10-41FD-B6A5-2DB153DBE1A2}"/>
    <cellStyle name="Comma 20 2 3" xfId="417" xr:uid="{2C3DAAD7-B65C-40F2-8722-DE3275241B5F}"/>
    <cellStyle name="Comma 20 3" xfId="418" xr:uid="{59C777D0-6316-400B-BFB3-F13B980C44AB}"/>
    <cellStyle name="Comma 20 3 2" xfId="419" xr:uid="{9931F013-3E45-494C-BF18-3DD88BA55292}"/>
    <cellStyle name="Comma 20 3 3" xfId="420" xr:uid="{C5F8AC9A-FCFD-47F4-9440-26B163398A50}"/>
    <cellStyle name="Comma 20 4" xfId="421" xr:uid="{124EF8B8-B442-4F8F-90A6-CBE8F009F548}"/>
    <cellStyle name="Comma 20 4 2" xfId="422" xr:uid="{1A7C805D-BF2B-4CB4-BE16-BBEE34AC3251}"/>
    <cellStyle name="Comma 20 4 3" xfId="423" xr:uid="{0D034358-062F-4EB9-92ED-A9E8F8A99A2B}"/>
    <cellStyle name="Comma 20 5" xfId="424" xr:uid="{4FF8566A-2666-438D-A7DC-5FF8925E3DB8}"/>
    <cellStyle name="Comma 20 5 2" xfId="425" xr:uid="{401168B2-53B1-4C09-B684-3B8CAEA1B4F5}"/>
    <cellStyle name="Comma 20 5 3" xfId="426" xr:uid="{CF7454F2-655E-4CB6-B01D-6446F4F17C93}"/>
    <cellStyle name="Comma 20 6" xfId="427" xr:uid="{F6026DBC-2A99-4D10-A664-62137DFECB89}"/>
    <cellStyle name="Comma 20 6 2" xfId="428" xr:uid="{E93B364A-A12A-4589-BFD2-4039EF463FC5}"/>
    <cellStyle name="Comma 20 6 3" xfId="429" xr:uid="{42472D20-6D1D-4AD6-81F9-102F8F99B8C1}"/>
    <cellStyle name="Comma 20 7" xfId="430" xr:uid="{252DDFEA-88E9-4B07-9676-CC6F9619FFBD}"/>
    <cellStyle name="Comma 20 7 2" xfId="431" xr:uid="{AA7448C3-559D-4934-832B-2DC2146A5B28}"/>
    <cellStyle name="Comma 20 7 3" xfId="432" xr:uid="{6FAB1DA5-605A-4EC1-84CA-D1ECB8395237}"/>
    <cellStyle name="Comma 20 8" xfId="433" xr:uid="{81A04859-A81B-455B-854F-7FA817064FFE}"/>
    <cellStyle name="Comma 20 8 2" xfId="434" xr:uid="{B2EA96BB-D0C0-49AA-A8B0-C3ED529E0A53}"/>
    <cellStyle name="Comma 20 8 3" xfId="435" xr:uid="{384DBDFE-32F1-4F50-AF24-555505FB66D3}"/>
    <cellStyle name="Comma 20 9" xfId="436" xr:uid="{FB572B44-61B7-4366-9D5F-89AF736F9B14}"/>
    <cellStyle name="Comma 21 2" xfId="437" xr:uid="{2EF3A7BE-6ADD-4259-A7AE-114E6455BBB4}"/>
    <cellStyle name="Comma 21 3" xfId="438" xr:uid="{05E52729-D87C-4F16-8C06-07ADEC662C4B}"/>
    <cellStyle name="Comma 21 4" xfId="439" xr:uid="{4C6B49A8-437D-4538-AE4C-317BA7C31116}"/>
    <cellStyle name="Comma 22 2" xfId="440" xr:uid="{40A261E7-4C7D-47CC-A5C7-32B7A27DAFF2}"/>
    <cellStyle name="Comma 23 2" xfId="441" xr:uid="{3834201E-8FA1-4BED-B5E1-F355EA5A549C}"/>
    <cellStyle name="Comma 23 3" xfId="442" xr:uid="{E8424AF7-9EA7-4FC2-A7C9-AB19C91EADBA}"/>
    <cellStyle name="Comma 23 4" xfId="443" xr:uid="{4AA326EC-6905-490A-AD70-558796E6938F}"/>
    <cellStyle name="Comma 24 2" xfId="444" xr:uid="{8AFC3294-3A08-419C-A3D9-D404849DA71C}"/>
    <cellStyle name="Comma 24 2 2" xfId="445" xr:uid="{7E3D24C5-9D73-447F-AB20-043376D8B90B}"/>
    <cellStyle name="Comma 24 2 3" xfId="446" xr:uid="{EB64A398-246F-4D39-9F1E-179DDC55E187}"/>
    <cellStyle name="Comma 24 3" xfId="447" xr:uid="{6BB1F62B-9293-437D-8C8B-B3DD45D3AAFE}"/>
    <cellStyle name="Comma 24 3 2" xfId="448" xr:uid="{7268DA69-058D-4779-A40A-4122BF35E9B9}"/>
    <cellStyle name="Comma 24 3 3" xfId="449" xr:uid="{662189D9-D165-4BA9-A2C2-8B9A0F5D83F1}"/>
    <cellStyle name="Comma 24 4" xfId="450" xr:uid="{6BB66F01-B73C-4A7B-BCCD-369BE2445CB3}"/>
    <cellStyle name="Comma 24 4 2" xfId="451" xr:uid="{116D23D2-CD65-47A4-B352-EBCDEFA36087}"/>
    <cellStyle name="Comma 24 4 3" xfId="452" xr:uid="{44BC821D-C7DD-421E-A83F-AF70C0716BEC}"/>
    <cellStyle name="Comma 24 5" xfId="453" xr:uid="{2909BB4D-5D7A-4E2C-A211-67235845DC0A}"/>
    <cellStyle name="Comma 24 6" xfId="454" xr:uid="{8E0EDB57-370E-4A5B-A3A6-ED3B6E2D2F83}"/>
    <cellStyle name="Comma 25 2" xfId="455" xr:uid="{89EF18F2-4038-4870-B2EC-25EC76657389}"/>
    <cellStyle name="Comma 26 2" xfId="456" xr:uid="{920D7DAB-2A48-4B57-A412-4B64501C5C0F}"/>
    <cellStyle name="Comma 26 2 2" xfId="457" xr:uid="{AB3D820C-8735-4A33-A4B5-235E32A9489B}"/>
    <cellStyle name="Comma 26 2 3" xfId="458" xr:uid="{D2DB1A5F-90B6-4276-8559-0BE972D47CDA}"/>
    <cellStyle name="Comma 26 3" xfId="459" xr:uid="{050842ED-E85B-49E4-A83D-9691CB2EE356}"/>
    <cellStyle name="Comma 27 2" xfId="460" xr:uid="{69190FDA-386F-46AB-83D8-C7268D413470}"/>
    <cellStyle name="Comma 28" xfId="461" xr:uid="{969B6B39-C143-47E2-8CE4-DFA479DF7565}"/>
    <cellStyle name="Comma 28 2" xfId="462" xr:uid="{87DEBA56-E8E0-4F9B-A75F-C66FAB0518E7}"/>
    <cellStyle name="Comma 29" xfId="463" xr:uid="{84D68C3C-BC0E-4031-A38C-C154BE885801}"/>
    <cellStyle name="Comma 29 2" xfId="464" xr:uid="{D15AFB1E-6D5E-40B5-A3C9-48CF4E0FD9A0}"/>
    <cellStyle name="Comma 3" xfId="465" xr:uid="{82505336-FAA3-40E0-8484-456951CDCCEB}"/>
    <cellStyle name="Comma 3 10" xfId="466" xr:uid="{10580B41-F029-4DF4-9B8D-D48CC7C13C8A}"/>
    <cellStyle name="Comma 3 10 2" xfId="467" xr:uid="{1972C72C-129F-495F-A53A-4471F65C6C59}"/>
    <cellStyle name="Comma 3 10 3" xfId="468" xr:uid="{C03B2154-B133-49CA-80BF-46247C03FFFF}"/>
    <cellStyle name="Comma 3 11" xfId="469" xr:uid="{8C1938EC-22BF-4277-8534-98838807BBF6}"/>
    <cellStyle name="Comma 3 11 2" xfId="470" xr:uid="{4AE16349-5AD0-4998-89BA-F432A378DDAD}"/>
    <cellStyle name="Comma 3 11 3" xfId="471" xr:uid="{66194223-6163-4D95-9D16-8A3A1D99F173}"/>
    <cellStyle name="Comma 3 12" xfId="472" xr:uid="{F4C33B18-73EE-4AC2-BA4F-0248E9CE6218}"/>
    <cellStyle name="Comma 3 12 2" xfId="473" xr:uid="{CF0082E5-061B-4EF8-8000-F5DD7A7B3F19}"/>
    <cellStyle name="Comma 3 12 3" xfId="474" xr:uid="{4E6184ED-D206-4429-968B-068A7B441118}"/>
    <cellStyle name="Comma 3 13" xfId="475" xr:uid="{FA6FC7B7-F8D5-420D-862A-0F9B4B6A7663}"/>
    <cellStyle name="Comma 3 13 2" xfId="476" xr:uid="{53BD9548-A4F4-47D5-BD6B-56EE3C3AA0C3}"/>
    <cellStyle name="Comma 3 13 3" xfId="477" xr:uid="{F38C78F1-7CAA-48CE-893A-A3790C945263}"/>
    <cellStyle name="Comma 3 14" xfId="478" xr:uid="{A7BB5565-5899-415C-B0E3-5EAE6BA26BD2}"/>
    <cellStyle name="Comma 3 14 2" xfId="479" xr:uid="{3F30608B-FF15-4C96-B685-E80494E5F503}"/>
    <cellStyle name="Comma 3 14 3" xfId="480" xr:uid="{E05248DE-4FE6-461B-BD6E-84C13F3DF8C9}"/>
    <cellStyle name="Comma 3 15" xfId="481" xr:uid="{F4513630-D01D-431D-9837-A28FB6ABE0AC}"/>
    <cellStyle name="Comma 3 15 2" xfId="482" xr:uid="{5A6C437A-7855-4970-BB41-72C246E4DDF1}"/>
    <cellStyle name="Comma 3 15 3" xfId="483" xr:uid="{CB85FFFE-A6DA-49D0-AFA4-AE3B46A2466A}"/>
    <cellStyle name="Comma 3 16" xfId="484" xr:uid="{3F75BCF5-00DA-48A3-8CCE-093C4444E400}"/>
    <cellStyle name="Comma 3 16 2" xfId="485" xr:uid="{B2A90FB5-564E-4AED-97F3-2CCF8FC5C631}"/>
    <cellStyle name="Comma 3 17" xfId="486" xr:uid="{4981B371-9588-43D7-8E9C-EB7549567647}"/>
    <cellStyle name="Comma 3 17 2" xfId="487" xr:uid="{185B99E5-1CA3-45DE-BE3E-19D9687010FB}"/>
    <cellStyle name="Comma 3 18" xfId="488" xr:uid="{99205E09-004E-445F-BA30-B987511D81A6}"/>
    <cellStyle name="Comma 3 19" xfId="489" xr:uid="{41C8E7D1-126D-472C-B5EC-8EF897CEDAE7}"/>
    <cellStyle name="Comma 3 2" xfId="490" xr:uid="{FBF4BED3-BE16-4498-8322-FF4180D0350E}"/>
    <cellStyle name="Comma 3 2 2" xfId="491" xr:uid="{29D6B9ED-04BB-498C-909B-308C34A5E362}"/>
    <cellStyle name="Comma 3 2 3" xfId="492" xr:uid="{2D0804BF-267A-4E92-8DFA-4CB0AB1951D7}"/>
    <cellStyle name="Comma 3 3" xfId="493" xr:uid="{BAE29666-F77A-40F2-8617-D6C51664860C}"/>
    <cellStyle name="Comma 3 3 2" xfId="494" xr:uid="{AF121037-A3B2-4B9F-9F3A-373C9B354F1F}"/>
    <cellStyle name="Comma 3 3 3" xfId="495" xr:uid="{7A36C3B0-BAFC-44BC-B909-086D73AE9F0A}"/>
    <cellStyle name="Comma 3 4" xfId="496" xr:uid="{1A63A4E1-0DD3-42E2-A46E-6CB83F3784C5}"/>
    <cellStyle name="Comma 3 4 2" xfId="497" xr:uid="{FE559C96-AB4A-43B5-A860-6A7F8F4FD0E0}"/>
    <cellStyle name="Comma 3 4 3" xfId="498" xr:uid="{A8F21955-E12A-4F5F-BFEE-85554D05C020}"/>
    <cellStyle name="Comma 3 5" xfId="499" xr:uid="{0AFB4A8A-15E4-4DD3-951E-50901C393603}"/>
    <cellStyle name="Comma 3 5 2" xfId="500" xr:uid="{F792A288-6464-4D1F-8B68-5E6B05A51BB6}"/>
    <cellStyle name="Comma 3 5 3" xfId="501" xr:uid="{D1B23B4D-2CCF-47F8-84C7-CFFE4F75FE26}"/>
    <cellStyle name="Comma 3 6" xfId="502" xr:uid="{A06C7251-23AC-4987-AD8B-6B1C616E7018}"/>
    <cellStyle name="Comma 3 6 2" xfId="503" xr:uid="{F9DFAE5F-A60D-49E3-9D0F-4D4155BE81CF}"/>
    <cellStyle name="Comma 3 6 3" xfId="504" xr:uid="{E2142743-5C97-4547-9476-31044E6E84BA}"/>
    <cellStyle name="Comma 3 7" xfId="505" xr:uid="{CEEA426A-AEAA-45D8-B94D-97AD75120D35}"/>
    <cellStyle name="Comma 3 7 2" xfId="506" xr:uid="{0BB94EF3-1E4E-4A1E-AB01-2F5C5A6CBD63}"/>
    <cellStyle name="Comma 3 7 3" xfId="507" xr:uid="{96DF96C4-658A-43BE-B4DF-261BE25A8FBA}"/>
    <cellStyle name="Comma 3 8" xfId="508" xr:uid="{989A5BEC-F18A-4622-A993-78698E3892C4}"/>
    <cellStyle name="Comma 3 8 2" xfId="509" xr:uid="{E5361F1F-EC15-4135-B396-3E9D1F98653D}"/>
    <cellStyle name="Comma 3 8 3" xfId="510" xr:uid="{5CCF1393-7AD5-41EC-AA7C-DC1A739A7135}"/>
    <cellStyle name="Comma 3 9" xfId="511" xr:uid="{8D73C87D-6496-4E0E-86F7-8847F9ED4B88}"/>
    <cellStyle name="Comma 3 9 2" xfId="512" xr:uid="{3D97D517-15C6-4C0D-85F2-F687E41A74AF}"/>
    <cellStyle name="Comma 3 9 3" xfId="513" xr:uid="{2A22C14D-E9DA-4545-BE3C-968B7551D808}"/>
    <cellStyle name="Comma 30" xfId="514" xr:uid="{7AA82B7B-B632-444E-80C7-376396CD5D0F}"/>
    <cellStyle name="Comma 30 2" xfId="515" xr:uid="{FFAE7C1F-80BA-4AD1-BD2B-EEBC4DC2AF85}"/>
    <cellStyle name="Comma 31" xfId="516" xr:uid="{5D887697-5160-451A-8517-D7252A6BCDA8}"/>
    <cellStyle name="Comma 31 2" xfId="517" xr:uid="{AA5647F8-A50D-4997-BE84-F010794A0466}"/>
    <cellStyle name="Comma 32" xfId="518" xr:uid="{C5709207-A356-4CFF-BC40-18A23A4465BC}"/>
    <cellStyle name="Comma 33" xfId="519" xr:uid="{50100679-B67A-4F8F-AB35-63D50C6B1C6D}"/>
    <cellStyle name="Comma 34" xfId="520" xr:uid="{AAD5283B-49B7-4610-B9F1-2656571A6797}"/>
    <cellStyle name="Comma 4" xfId="521" xr:uid="{595C74AF-1331-4499-844C-8991A1C305BA}"/>
    <cellStyle name="Comma 4 10" xfId="522" xr:uid="{AB2CD738-7926-46A2-BBD7-B1DEFFCF0153}"/>
    <cellStyle name="Comma 4 10 2" xfId="523" xr:uid="{981844AA-07B2-4C81-8929-575BE8963715}"/>
    <cellStyle name="Comma 4 10 3" xfId="524" xr:uid="{0A897539-B174-430C-BCE6-D42FED856302}"/>
    <cellStyle name="Comma 4 11" xfId="525" xr:uid="{50735979-B5EC-4598-8723-580449C41907}"/>
    <cellStyle name="Comma 4 11 2" xfId="526" xr:uid="{6AC350F3-CA82-4528-8B88-19E78D50A388}"/>
    <cellStyle name="Comma 4 11 3" xfId="527" xr:uid="{E2FA90D0-9A7E-44E1-B4AB-8D9161CF8894}"/>
    <cellStyle name="Comma 4 12" xfId="528" xr:uid="{CEAE1B9E-FCF3-4AC1-8D0B-2CA9A7E119FF}"/>
    <cellStyle name="Comma 4 12 2" xfId="529" xr:uid="{595D660B-C678-43D8-B99B-90330F26FA33}"/>
    <cellStyle name="Comma 4 12 3" xfId="530" xr:uid="{42B63A69-7FAC-4E89-8A9E-2F48AC1F8A1D}"/>
    <cellStyle name="Comma 4 13" xfId="531" xr:uid="{876ACE68-EBD6-4FC8-BD27-FE5248F919FA}"/>
    <cellStyle name="Comma 4 13 2" xfId="532" xr:uid="{88A9BE3D-31F8-4B0C-8EEF-C018D475CC49}"/>
    <cellStyle name="Comma 4 13 3" xfId="533" xr:uid="{7E594A07-2F3E-4F50-B865-DDB082C397C8}"/>
    <cellStyle name="Comma 4 14" xfId="534" xr:uid="{6A6E3BD3-A93A-4DEF-8548-783CDB28559B}"/>
    <cellStyle name="Comma 4 14 2" xfId="535" xr:uid="{6EC53658-755E-4055-9846-B6964BE72211}"/>
    <cellStyle name="Comma 4 14 3" xfId="536" xr:uid="{E5CDEFD3-2945-4E0F-885D-7D2C305751E1}"/>
    <cellStyle name="Comma 4 15" xfId="537" xr:uid="{36399CE9-1FDC-4983-A1FB-0B9DECA28643}"/>
    <cellStyle name="Comma 4 15 2" xfId="538" xr:uid="{F91F7C1A-BB9C-4629-9486-F1562996DD48}"/>
    <cellStyle name="Comma 4 15 3" xfId="539" xr:uid="{5FA4B0B8-DC8E-4410-ABAC-87990C0D0405}"/>
    <cellStyle name="Comma 4 16" xfId="540" xr:uid="{8CAFE8AC-25BF-4FE5-86F3-BC678BBE44B6}"/>
    <cellStyle name="Comma 4 16 2" xfId="541" xr:uid="{76B43241-78A7-4DD7-AA4B-E92805CD6E7B}"/>
    <cellStyle name="Comma 4 17" xfId="542" xr:uid="{107C817F-F903-40E4-997C-FDD119BB1F8F}"/>
    <cellStyle name="Comma 4 17 2" xfId="543" xr:uid="{916E78AE-9511-46DB-9ADE-E1512368BC5C}"/>
    <cellStyle name="Comma 4 18" xfId="544" xr:uid="{0987AC5B-4F72-48CE-937A-3C0145C02436}"/>
    <cellStyle name="Comma 4 2" xfId="545" xr:uid="{96348B27-A132-401F-84CF-AAAA59DC405C}"/>
    <cellStyle name="Comma 4 2 2" xfId="546" xr:uid="{B9636254-61C8-407C-920F-286F370DB53B}"/>
    <cellStyle name="Comma 4 2 2 2" xfId="547" xr:uid="{0EEAC29F-C031-4CD5-9AEC-4689EF5B96B1}"/>
    <cellStyle name="Comma 4 2 3" xfId="548" xr:uid="{D2E2483A-838D-4419-AA90-7F7C72E86574}"/>
    <cellStyle name="Comma 4 3" xfId="549" xr:uid="{2C38D0E8-C17C-455D-9D3F-B2A0E8B4CDD0}"/>
    <cellStyle name="Comma 4 3 2" xfId="550" xr:uid="{4206DBB3-09FB-49B3-B6B1-C75A21D2EB9C}"/>
    <cellStyle name="Comma 4 3 3" xfId="551" xr:uid="{6BB891D9-6605-4F59-BE81-4663D20257A4}"/>
    <cellStyle name="Comma 4 4" xfId="552" xr:uid="{49646E83-57FA-4716-849E-9CD43B6B59EA}"/>
    <cellStyle name="Comma 4 4 2" xfId="553" xr:uid="{5EC0BBB0-7395-456C-BFDC-1AB92B26936C}"/>
    <cellStyle name="Comma 4 4 3" xfId="554" xr:uid="{A8FFDCFA-2B39-4593-99DA-8A54A1455B84}"/>
    <cellStyle name="Comma 4 5" xfId="555" xr:uid="{A21C8B0C-1E2C-4809-96F0-953B716C3A4A}"/>
    <cellStyle name="Comma 4 5 2" xfId="556" xr:uid="{A5BCF8AA-4F18-4DCF-9D0B-6008D82DC56F}"/>
    <cellStyle name="Comma 4 5 3" xfId="557" xr:uid="{DA8D3A78-9A13-48F3-98D4-373B991700AD}"/>
    <cellStyle name="Comma 4 6" xfId="558" xr:uid="{FF38BFBD-01F8-4330-80FA-3F010CC5FF85}"/>
    <cellStyle name="Comma 4 6 2" xfId="559" xr:uid="{53D018DF-1E05-4EEA-95CF-137BA4D27082}"/>
    <cellStyle name="Comma 4 6 3" xfId="560" xr:uid="{6AFA27A1-C314-4920-A468-0FAD985B176D}"/>
    <cellStyle name="Comma 4 7" xfId="561" xr:uid="{7B242977-3C8D-462B-B8E2-D41E359D5A76}"/>
    <cellStyle name="Comma 4 7 2" xfId="562" xr:uid="{B9BBFD5F-EA96-480D-86AD-366A85EFF1CE}"/>
    <cellStyle name="Comma 4 7 3" xfId="563" xr:uid="{A28FDF85-3C25-4CA3-B93B-78A9CEBD7BA4}"/>
    <cellStyle name="Comma 4 8" xfId="564" xr:uid="{EABB30E4-4F5A-40EB-BCFD-E9245BD31343}"/>
    <cellStyle name="Comma 4 8 2" xfId="565" xr:uid="{12FE69D1-D6C8-4278-8FCE-C02ABB872351}"/>
    <cellStyle name="Comma 4 8 3" xfId="566" xr:uid="{5B1019A3-153C-4CD2-91C5-0D2C4D3BC871}"/>
    <cellStyle name="Comma 4 9" xfId="567" xr:uid="{716BC361-95B1-40F0-91F5-E8EC540109E7}"/>
    <cellStyle name="Comma 4 9 2" xfId="568" xr:uid="{503B626B-305C-4AE8-B710-1FE998DE4857}"/>
    <cellStyle name="Comma 4 9 3" xfId="569" xr:uid="{019F9031-3D3A-4423-AA08-921B34B84C1E}"/>
    <cellStyle name="Comma 48 2" xfId="570" xr:uid="{A5B8CA4C-6A30-486F-A1E8-F4E49F506019}"/>
    <cellStyle name="Comma 5" xfId="571" xr:uid="{4C5884E4-46E5-4E41-B283-0B81E6EEA108}"/>
    <cellStyle name="Comma 5 10" xfId="572" xr:uid="{D6610D7F-B57C-48F3-B817-51A8BB58EAC5}"/>
    <cellStyle name="Comma 5 10 2" xfId="573" xr:uid="{039ACAD4-C601-4180-B83B-2D67819B6BC1}"/>
    <cellStyle name="Comma 5 10 3" xfId="574" xr:uid="{E0DF18BE-E8AE-4F74-A98D-1DB69FA903A6}"/>
    <cellStyle name="Comma 5 11" xfId="575" xr:uid="{D03EEBE4-1360-4635-B818-6B5D372D434C}"/>
    <cellStyle name="Comma 5 11 2" xfId="576" xr:uid="{1195B916-2B2D-4317-8EFD-26B30DEDA585}"/>
    <cellStyle name="Comma 5 11 3" xfId="577" xr:uid="{BD195057-ED18-49A1-941B-84AFD08F95BB}"/>
    <cellStyle name="Comma 5 12" xfId="578" xr:uid="{7ED90DD0-1AC9-4DE2-BC47-CE23223D558E}"/>
    <cellStyle name="Comma 5 12 2" xfId="579" xr:uid="{4F1BE0C7-7187-4B14-B8E6-E366FD383684}"/>
    <cellStyle name="Comma 5 12 3" xfId="580" xr:uid="{60EED21A-2838-47A9-A60A-F628F2AE4FEC}"/>
    <cellStyle name="Comma 5 13" xfId="581" xr:uid="{90EC0A11-86DE-479B-8EB6-4FC09095B483}"/>
    <cellStyle name="Comma 5 13 2" xfId="582" xr:uid="{5CA91482-E9CC-4E08-8F85-CED9430264C7}"/>
    <cellStyle name="Comma 5 13 3" xfId="583" xr:uid="{F0274490-18E5-420B-A6C0-77D912F6C25F}"/>
    <cellStyle name="Comma 5 14" xfId="584" xr:uid="{D60ADDC7-EA39-46A9-8C75-70DEBFAC7996}"/>
    <cellStyle name="Comma 5 14 2" xfId="585" xr:uid="{A8DF48F4-2365-46C6-B25F-BE39BEBFBD94}"/>
    <cellStyle name="Comma 5 14 3" xfId="586" xr:uid="{672CF5AE-6CF6-4BDC-A809-425FE2827154}"/>
    <cellStyle name="Comma 5 15" xfId="587" xr:uid="{71B12D5F-22C7-425B-8452-BD709C69D4B3}"/>
    <cellStyle name="Comma 5 15 2" xfId="588" xr:uid="{C4D1B657-7FCA-43D7-BEC2-314E18C88AF5}"/>
    <cellStyle name="Comma 5 15 3" xfId="589" xr:uid="{36D0E06C-66E8-44C0-AA58-20B8385E39AA}"/>
    <cellStyle name="Comma 5 16" xfId="590" xr:uid="{1BD1628F-7AC2-4FDE-AEDB-3680AD289B88}"/>
    <cellStyle name="Comma 5 16 2" xfId="591" xr:uid="{1F822385-CA8A-4332-9CF5-6AD397BF3464}"/>
    <cellStyle name="Comma 5 17" xfId="592" xr:uid="{0A0C6606-A153-4E4A-81D2-4E3A0B640663}"/>
    <cellStyle name="Comma 5 17 2" xfId="593" xr:uid="{DF93D02C-1D68-45FB-A1F2-AEC2EF2630BE}"/>
    <cellStyle name="Comma 5 2" xfId="594" xr:uid="{6807CCBA-5509-4072-812B-F64938E34721}"/>
    <cellStyle name="Comma 5 2 2" xfId="595" xr:uid="{3A095399-D5F9-4379-A93D-815FD042BA6A}"/>
    <cellStyle name="Comma 5 2 3" xfId="596" xr:uid="{9F110F95-EA8B-427F-BC4B-8AB86D3F9CAC}"/>
    <cellStyle name="Comma 5 3" xfId="597" xr:uid="{E2A3A732-6E32-487C-9456-C71132F51B84}"/>
    <cellStyle name="Comma 5 3 2" xfId="598" xr:uid="{E16AA6E5-07E4-4755-AAC9-9FCD823653FF}"/>
    <cellStyle name="Comma 5 3 3" xfId="599" xr:uid="{A34853F9-DA8C-48DF-85F8-CC92F51F6D08}"/>
    <cellStyle name="Comma 5 4" xfId="600" xr:uid="{41BEF852-98A9-4413-92A1-CBCF80FD0438}"/>
    <cellStyle name="Comma 5 4 2" xfId="601" xr:uid="{97A5FEB6-EFDB-4932-8694-2DF7E044AD23}"/>
    <cellStyle name="Comma 5 4 3" xfId="602" xr:uid="{8EB6F3F8-13FD-433D-AD94-23BD965A410D}"/>
    <cellStyle name="Comma 5 5" xfId="603" xr:uid="{B64FDE9D-259C-4EDD-911E-3C9CCC4F9B68}"/>
    <cellStyle name="Comma 5 5 2" xfId="604" xr:uid="{139140B2-58A3-40EB-88DF-97ACCE3706A0}"/>
    <cellStyle name="Comma 5 5 3" xfId="605" xr:uid="{97F12A1F-8EB1-4A3C-B758-371C8DBCCA04}"/>
    <cellStyle name="Comma 5 6" xfId="606" xr:uid="{63A701B4-E742-4963-8E73-9133FA842A8A}"/>
    <cellStyle name="Comma 5 6 2" xfId="607" xr:uid="{2ADE5927-8686-4F0F-88C3-5AE4E8092B79}"/>
    <cellStyle name="Comma 5 6 3" xfId="608" xr:uid="{008CB34E-EA34-4546-A116-602B83B76989}"/>
    <cellStyle name="Comma 5 7" xfId="609" xr:uid="{233F0E33-FA64-4D04-AC86-B39A43AA3B50}"/>
    <cellStyle name="Comma 5 7 2" xfId="610" xr:uid="{53D0860B-87BF-442F-BBC2-2A78D42F2D8E}"/>
    <cellStyle name="Comma 5 7 3" xfId="611" xr:uid="{CA3CAF62-1A39-4C4A-BD5D-05382CA053EF}"/>
    <cellStyle name="Comma 5 8" xfId="612" xr:uid="{019E94EF-89DC-42C6-B8DF-E74B137C75FE}"/>
    <cellStyle name="Comma 5 8 2" xfId="613" xr:uid="{861CBB85-66DE-4A17-97AB-99D091F8FE93}"/>
    <cellStyle name="Comma 5 8 3" xfId="614" xr:uid="{D9871523-869A-4939-A513-ABD1AAABB06F}"/>
    <cellStyle name="Comma 5 9" xfId="615" xr:uid="{A7618752-17FE-4474-A5C0-97D97EB6E502}"/>
    <cellStyle name="Comma 5 9 2" xfId="616" xr:uid="{8E6BB42F-E27C-4AEE-BECD-E1D26A987036}"/>
    <cellStyle name="Comma 5 9 3" xfId="617" xr:uid="{A0CBBAAC-2CA4-45B1-89EB-9E6894479278}"/>
    <cellStyle name="Comma 6" xfId="256" xr:uid="{D821EE3A-7F7A-40A6-956F-15CF61E26B7E}"/>
    <cellStyle name="Comma 6 2" xfId="618" xr:uid="{21EB721F-8A72-4352-8971-FB1891CB36EC}"/>
    <cellStyle name="Comma 6 2 2" xfId="619" xr:uid="{D08427C7-C678-4FF8-9FFB-3DBBFFF44E5D}"/>
    <cellStyle name="Comma 6 2 3" xfId="620" xr:uid="{72EA5E18-6732-43BF-9FDC-A035D8316853}"/>
    <cellStyle name="Comma 6 2 4" xfId="621" xr:uid="{FBAF71B4-8E04-4CF2-AC99-36978B887DC5}"/>
    <cellStyle name="Comma 7 2" xfId="622" xr:uid="{3C940BFA-8ACD-43A4-8AAF-53D5002FA3C5}"/>
    <cellStyle name="Comma 8 2" xfId="623" xr:uid="{6520CA7B-49F8-49FE-A1DE-AE24B4AF864C}"/>
    <cellStyle name="Explanatory Text" xfId="16" builtinId="53" customBuiltin="1"/>
    <cellStyle name="Explanatory Text 2 2" xfId="624" xr:uid="{49FE8C1E-0443-4C00-B5BE-75E6B4754386}"/>
    <cellStyle name="Explanatory Text 2 3" xfId="625" xr:uid="{845E78E9-6BC1-49A9-9408-9CC0427C11AB}"/>
    <cellStyle name="Explanatory Text 2 4" xfId="626" xr:uid="{9921C870-52A5-4C28-ACEA-A89399BCF04E}"/>
    <cellStyle name="Explanatory Text 2 5" xfId="627" xr:uid="{D1931BFD-3B0D-4745-86DC-C63CC22CA332}"/>
    <cellStyle name="Explanatory Text 2 6" xfId="628" xr:uid="{91A6353D-992F-48B1-AC2B-50E9292C9181}"/>
    <cellStyle name="Explanatory Text 2 7" xfId="629" xr:uid="{95DE390F-957C-477D-B31F-93E245DA5C5D}"/>
    <cellStyle name="Explanatory Text 2 8" xfId="630" xr:uid="{0B7CD6D5-464C-451F-B505-71172D1388A7}"/>
    <cellStyle name="Good" xfId="8" builtinId="26" customBuiltin="1"/>
    <cellStyle name="Good 2 2" xfId="631" xr:uid="{5C4842FF-CF53-431A-9970-C90D797F98A2}"/>
    <cellStyle name="Good 2 3" xfId="632" xr:uid="{0F97BA73-6A92-4005-9052-C5DC6D903182}"/>
    <cellStyle name="Good 2 4" xfId="633" xr:uid="{6FBAB7FB-B165-4D25-A6AF-3276FE2E03AB}"/>
    <cellStyle name="Good 2 5" xfId="634" xr:uid="{7A4E2573-C2CD-4454-B3ED-064E9746FE8D}"/>
    <cellStyle name="Good 2 6" xfId="635" xr:uid="{BC0F8375-88D8-4BA4-9F01-2D5CA74EE169}"/>
    <cellStyle name="Good 2 7" xfId="636" xr:uid="{15705CDB-FE3E-40D0-919C-8FC9560A1EC5}"/>
    <cellStyle name="Good 2 8" xfId="637" xr:uid="{9A1F7788-866B-456C-9032-1E35250B0163}"/>
    <cellStyle name="Heading 1" xfId="4" builtinId="16" customBuiltin="1"/>
    <cellStyle name="Heading 1 2 2" xfId="638" xr:uid="{8C428364-3161-490B-A9A1-F921B112ABC3}"/>
    <cellStyle name="Heading 1 2 3" xfId="639" xr:uid="{709C59CA-EC62-41DE-94F4-BF6E00E105F1}"/>
    <cellStyle name="Heading 1 2 4" xfId="640" xr:uid="{E8D3153F-5F0E-489E-A1D5-36112ABFAE41}"/>
    <cellStyle name="Heading 1 2 5" xfId="641" xr:uid="{C4EEB971-07C1-4E52-95BA-72AB117CC22B}"/>
    <cellStyle name="Heading 1 2 6" xfId="642" xr:uid="{C1C30DBB-6218-4C70-872D-2073333A7726}"/>
    <cellStyle name="Heading 1 2 7" xfId="643" xr:uid="{84F87C51-57E2-4A3E-B587-A195D366CFE9}"/>
    <cellStyle name="Heading 1 2 8" xfId="644" xr:uid="{1E1282C2-46CA-414E-8A45-1D2BF4D92717}"/>
    <cellStyle name="Heading 2" xfId="5" builtinId="17" customBuiltin="1"/>
    <cellStyle name="Heading 2 2 2" xfId="645" xr:uid="{26B57C84-A0BA-454F-95A3-4EA06C347D41}"/>
    <cellStyle name="Heading 2 2 3" xfId="646" xr:uid="{24E5F1C1-54D0-4A35-80D7-18386FDBA4FF}"/>
    <cellStyle name="Heading 2 2 4" xfId="647" xr:uid="{984CDD8A-BFF5-4E9F-829A-D46874511610}"/>
    <cellStyle name="Heading 2 2 5" xfId="648" xr:uid="{C98E51B9-75D2-4519-90A6-40B2F080CC3C}"/>
    <cellStyle name="Heading 2 2 6" xfId="649" xr:uid="{73712CE6-1983-40DE-AFC5-ECFC750AE15C}"/>
    <cellStyle name="Heading 2 2 7" xfId="650" xr:uid="{9D1E4A47-8114-48DE-A44C-01010F9E4291}"/>
    <cellStyle name="Heading 2 2 8" xfId="651" xr:uid="{0F9F3629-0640-40A0-A4AD-3C22BC44716F}"/>
    <cellStyle name="Heading 3" xfId="6" builtinId="18" customBuiltin="1"/>
    <cellStyle name="Heading 3 2 2" xfId="652" xr:uid="{F4205C34-E77F-4A97-82FC-FDA162A966CA}"/>
    <cellStyle name="Heading 3 2 3" xfId="653" xr:uid="{1B086AB3-2BE8-4907-ABC1-DD911AAA23F4}"/>
    <cellStyle name="Heading 3 2 4" xfId="654" xr:uid="{8FA87875-8643-4FD0-9427-100550F87E35}"/>
    <cellStyle name="Heading 3 2 5" xfId="655" xr:uid="{9643D1E4-EDBC-43D8-BF6C-5426BE52A23D}"/>
    <cellStyle name="Heading 3 2 6" xfId="656" xr:uid="{39D18DC9-A53F-4293-8D0D-EFE4C231EDBB}"/>
    <cellStyle name="Heading 3 2 7" xfId="657" xr:uid="{07C25FE7-C8A5-4BF3-B9D6-0ED937CDB393}"/>
    <cellStyle name="Heading 3 2 8" xfId="658" xr:uid="{79E5D553-AD13-4664-B135-9D7BBEBA1531}"/>
    <cellStyle name="Heading 4" xfId="7" builtinId="19" customBuiltin="1"/>
    <cellStyle name="Heading 4 2 2" xfId="659" xr:uid="{116EE157-54A6-4053-95F7-AAC265259E19}"/>
    <cellStyle name="Heading 4 2 3" xfId="660" xr:uid="{880DF706-8205-463A-BB48-4FE68130E239}"/>
    <cellStyle name="Heading 4 2 4" xfId="661" xr:uid="{15A24ED2-6F75-46D1-A1CF-9F0925F813A1}"/>
    <cellStyle name="Heading 4 2 5" xfId="662" xr:uid="{3F78476B-5598-4A29-BAD2-7119A935B653}"/>
    <cellStyle name="Heading 4 2 6" xfId="663" xr:uid="{0FA905BF-20E3-4E3B-8EC0-814EEC7DC218}"/>
    <cellStyle name="Heading 4 2 7" xfId="664" xr:uid="{A84E7668-F5A1-4EBE-8C57-4C2795A559D4}"/>
    <cellStyle name="Heading 4 2 8" xfId="665" xr:uid="{F0000840-8EAC-4707-9E12-5A4052383BC8}"/>
    <cellStyle name="Hyperlink 2" xfId="666" xr:uid="{9204212C-1375-40EA-9275-500119957364}"/>
    <cellStyle name="Hyperlink 3" xfId="667" xr:uid="{B444EF35-0725-4F36-B20A-F93143CFDF15}"/>
    <cellStyle name="Input" xfId="10" builtinId="20" customBuiltin="1"/>
    <cellStyle name="Input 2 2" xfId="668" xr:uid="{F9ECF214-D0D1-4D6B-9181-0036E34AD7EF}"/>
    <cellStyle name="Input 2 3" xfId="669" xr:uid="{AA9FAED8-9242-40C8-8BE2-FC7BE4656857}"/>
    <cellStyle name="Input 2 4" xfId="670" xr:uid="{76FD02D6-8D1E-47F3-94B1-3029E4142CB7}"/>
    <cellStyle name="Input 2 5" xfId="671" xr:uid="{42187A29-F163-4F30-9B33-0B2E5DF9F04C}"/>
    <cellStyle name="Input 2 6" xfId="672" xr:uid="{7B96C7C5-C195-49B7-987A-1E9FDE41800A}"/>
    <cellStyle name="Input 2 7" xfId="673" xr:uid="{B624DDEB-5BFA-4ECF-BF2A-1ED27CABA330}"/>
    <cellStyle name="Input 2 8" xfId="674" xr:uid="{F3B379BC-7CE7-4F1B-BBF9-DD55BBA3E35D}"/>
    <cellStyle name="Linked Cell" xfId="13" builtinId="24" customBuiltin="1"/>
    <cellStyle name="Linked Cell 2 2" xfId="675" xr:uid="{C3792B45-8101-4D56-AB66-AE342248FE23}"/>
    <cellStyle name="Linked Cell 2 3" xfId="676" xr:uid="{88A2D768-4AB4-4ACC-BA9F-3DC5FA699ACC}"/>
    <cellStyle name="Linked Cell 2 4" xfId="677" xr:uid="{962BBEFE-224B-4AD0-8B50-CACD9D464B32}"/>
    <cellStyle name="Linked Cell 2 5" xfId="678" xr:uid="{E3B55B3A-A472-4EE7-8011-3DCF77D16B01}"/>
    <cellStyle name="Linked Cell 2 6" xfId="679" xr:uid="{E99DCFF8-90E6-4708-83C4-19BBC9EB9B26}"/>
    <cellStyle name="Linked Cell 2 7" xfId="680" xr:uid="{2A445D67-4C51-4B6F-AD5A-F417DC2D7135}"/>
    <cellStyle name="Linked Cell 2 8" xfId="681" xr:uid="{D939CEC6-7CA8-4AE2-857E-B8AAA6C333F2}"/>
    <cellStyle name="Neutral 2" xfId="682" xr:uid="{AED883BA-5594-4F44-B6E7-D1DFD6AF87B0}"/>
    <cellStyle name="Neutral 2 2" xfId="683" xr:uid="{8A2C157A-4BD7-4AED-980E-3EAEA6BB22E8}"/>
    <cellStyle name="Neutral 2 3" xfId="684" xr:uid="{31908E3E-5400-4967-A491-F50E9B10FCD9}"/>
    <cellStyle name="Neutral 2 4" xfId="685" xr:uid="{CD35C18C-7CD2-447F-9579-747FCAAF13C0}"/>
    <cellStyle name="Neutral 2 5" xfId="686" xr:uid="{357AAD1D-ED74-49DA-B493-6037602BB155}"/>
    <cellStyle name="Neutral 2 6" xfId="687" xr:uid="{9DEC071F-38A6-402A-ACEF-B19FF8EEDB10}"/>
    <cellStyle name="Neutral 2 7" xfId="688" xr:uid="{A6C323E0-0747-4466-84CB-E3DC6854BB66}"/>
    <cellStyle name="Neutral 2 8" xfId="689" xr:uid="{C782F9FE-5480-4E63-96BA-0ED165CB40E3}"/>
    <cellStyle name="Normal" xfId="0" builtinId="0"/>
    <cellStyle name="Normal 10" xfId="690" xr:uid="{499BDBD2-0B50-4EFE-A790-95EEAC4D5736}"/>
    <cellStyle name="Normal 10 10" xfId="691" xr:uid="{C5100B32-BBA3-4BEA-8FAA-3C81C7D1E6D3}"/>
    <cellStyle name="Normal 10 11" xfId="692" xr:uid="{F3089CE6-8830-455C-A5AD-EE7AAEEC1D40}"/>
    <cellStyle name="Normal 10 2" xfId="693" xr:uid="{4A6DC356-3029-44B7-9A92-A944ECB95D60}"/>
    <cellStyle name="Normal 10 2 2 2 2" xfId="694" xr:uid="{FBC8FC32-E3C3-4A7E-9E8A-FC81C7C47941}"/>
    <cellStyle name="Normal 10 3" xfId="695" xr:uid="{FDE36817-6784-4CB2-8BAF-C94D4F0D672F}"/>
    <cellStyle name="Normal 10 4" xfId="696" xr:uid="{4E23ECE5-4CC3-4A9C-8C75-F671F4E1CBE2}"/>
    <cellStyle name="Normal 10 5" xfId="697" xr:uid="{AFDDB2CD-624C-4DA7-81C7-0E0F60569765}"/>
    <cellStyle name="Normal 10 6" xfId="698" xr:uid="{CD826CDA-20C2-4A88-94B8-E5F2B67F14B1}"/>
    <cellStyle name="Normal 10 7" xfId="699" xr:uid="{83A41982-02C0-4DF8-A4E3-3E2B4DC73AFA}"/>
    <cellStyle name="Normal 10 8" xfId="700" xr:uid="{F2268850-0353-4685-A0EE-9F441D953138}"/>
    <cellStyle name="Normal 10 9" xfId="701" xr:uid="{56321E34-86CF-4283-8114-E6E1798EA83A}"/>
    <cellStyle name="Normal 11" xfId="702" xr:uid="{6DABBAE5-E410-4485-9CCF-8329E7024312}"/>
    <cellStyle name="Normal 11 10" xfId="703" xr:uid="{ECFBB55F-8CB4-4234-B8CF-44A5B2E5D832}"/>
    <cellStyle name="Normal 11 11" xfId="704" xr:uid="{41A8EB6D-1BEE-46D4-B509-7D657FEB0479}"/>
    <cellStyle name="Normal 11 2" xfId="705" xr:uid="{C48D7337-07A1-46C4-B0EC-8664A1D441CB}"/>
    <cellStyle name="Normal 11 3" xfId="706" xr:uid="{830C6E57-6321-42CA-8F4D-2ED7241212CF}"/>
    <cellStyle name="Normal 11 4" xfId="707" xr:uid="{66C571AA-77BE-4E67-8AAB-E9B62DF2D517}"/>
    <cellStyle name="Normal 11 5" xfId="708" xr:uid="{08D6D8C7-5264-4ED3-A8F8-E0BE3DB8B9CE}"/>
    <cellStyle name="Normal 11 6" xfId="709" xr:uid="{5DD23FF6-1D73-41FD-9525-E3D6E429AA0B}"/>
    <cellStyle name="Normal 11 7" xfId="710" xr:uid="{C64CA282-C9C0-45F8-BB62-853E7A71A9DF}"/>
    <cellStyle name="Normal 11 8" xfId="711" xr:uid="{CE88FFC4-73E6-4D6B-835C-4D9779CD6357}"/>
    <cellStyle name="Normal 11 9" xfId="712" xr:uid="{41E84F2F-48FA-4123-B122-6015F012B77E}"/>
    <cellStyle name="Normal 12" xfId="2" xr:uid="{00000000-0005-0000-0000-000001000000}"/>
    <cellStyle name="Normal 12 10" xfId="713" xr:uid="{C500F10C-5186-4721-ABD0-575E9A77FBC6}"/>
    <cellStyle name="Normal 12 11" xfId="1122" xr:uid="{A0A2A7D4-7962-4AF7-95C4-A0A7A0AF44F0}"/>
    <cellStyle name="Normal 12 2" xfId="714" xr:uid="{F3F9A359-9799-4BAA-BD3B-DF7171FC81DC}"/>
    <cellStyle name="Normal 12 3" xfId="715" xr:uid="{52FA98D3-7E2F-4F85-8B27-558944CB6556}"/>
    <cellStyle name="Normal 12 4" xfId="716" xr:uid="{722D7EFF-0F8D-466E-BB27-EC89084E5600}"/>
    <cellStyle name="Normal 12 5" xfId="717" xr:uid="{371FD47F-DCE7-4AFD-8067-BE4342FF6253}"/>
    <cellStyle name="Normal 12 6" xfId="718" xr:uid="{118B35AF-6C95-4368-9C69-C0FEAD24CC35}"/>
    <cellStyle name="Normal 12 7" xfId="719" xr:uid="{E530A951-4D54-43E0-9CED-051D6A899DFA}"/>
    <cellStyle name="Normal 12 8" xfId="720" xr:uid="{1D6F5026-27D0-4EBC-BA93-BD3981AFA2FF}"/>
    <cellStyle name="Normal 12 9" xfId="721" xr:uid="{751A9AB2-7A20-4385-8DEF-F4F4EE44B9BC}"/>
    <cellStyle name="Normal 13" xfId="722" xr:uid="{F06BFD8A-BE71-4165-AFD1-235A92C99481}"/>
    <cellStyle name="Normal 13 10" xfId="723" xr:uid="{8C75858F-029C-4471-8EEC-AD87D8FB99AE}"/>
    <cellStyle name="Normal 13 11" xfId="724" xr:uid="{90B527C7-C6BA-4461-9231-83109F400DD8}"/>
    <cellStyle name="Normal 13 2" xfId="725" xr:uid="{4377607E-2DBD-4C47-9A2C-3493CC56051F}"/>
    <cellStyle name="Normal 13 3" xfId="726" xr:uid="{9B70E8A4-5587-4223-A8E6-0620C1DFAFB6}"/>
    <cellStyle name="Normal 13 4" xfId="727" xr:uid="{E4E53CA5-7F4A-45DF-A5FC-E46EFDBC0566}"/>
    <cellStyle name="Normal 13 5" xfId="728" xr:uid="{BB4988CF-D551-4100-8067-EFA5A6AE856A}"/>
    <cellStyle name="Normal 13 6" xfId="729" xr:uid="{AE11AAE0-AFA7-4391-96F4-9C7EDFD73ED3}"/>
    <cellStyle name="Normal 13 7" xfId="730" xr:uid="{9FC0C9DB-AE55-4771-8FC4-1F6C56EC7B4F}"/>
    <cellStyle name="Normal 13 8" xfId="731" xr:uid="{6E2DE5E0-3A42-4481-985C-C643440A9F3A}"/>
    <cellStyle name="Normal 13 9" xfId="732" xr:uid="{5EDD71E2-81E9-485C-B8C7-64A9E9BDC1CB}"/>
    <cellStyle name="Normal 14" xfId="733" xr:uid="{50342573-8B0E-4378-A82F-0A5C0CED09D3}"/>
    <cellStyle name="Normal 14 10" xfId="734" xr:uid="{51F17C26-CC3F-4DCA-90B5-D2A96671D3F7}"/>
    <cellStyle name="Normal 14 11" xfId="735" xr:uid="{FBF95F94-935E-404D-829D-E974961ACEAF}"/>
    <cellStyle name="Normal 14 2" xfId="736" xr:uid="{A0C09149-05A6-4E98-A077-EEF45294E200}"/>
    <cellStyle name="Normal 14 3" xfId="737" xr:uid="{B3BFB93F-08E9-47D4-A5A6-32ECC8EA870D}"/>
    <cellStyle name="Normal 14 4" xfId="738" xr:uid="{060DB205-C9BD-4A65-85E9-45B745D33F47}"/>
    <cellStyle name="Normal 14 5" xfId="739" xr:uid="{2D3C3F05-1192-4511-AE9A-82B76BA34E69}"/>
    <cellStyle name="Normal 14 6" xfId="740" xr:uid="{F4F9E448-2E08-4EFF-A8BA-C6905A7C3B64}"/>
    <cellStyle name="Normal 14 7" xfId="741" xr:uid="{56469241-52CA-4FB2-80E7-6899022E924B}"/>
    <cellStyle name="Normal 14 8" xfId="742" xr:uid="{80A14550-3059-42A6-B1AF-B99E38358F78}"/>
    <cellStyle name="Normal 14 9" xfId="743" xr:uid="{8B891892-1AA8-4222-8DD0-F397E7ADABEC}"/>
    <cellStyle name="Normal 15" xfId="1121" xr:uid="{727340A4-3A4D-4B59-A619-B180FEA585F0}"/>
    <cellStyle name="Normal 15 10" xfId="744" xr:uid="{1260601C-20FF-4F31-B477-DB274B434F7D}"/>
    <cellStyle name="Normal 15 2" xfId="745" xr:uid="{4045ED82-5F7A-4A28-9615-571771501913}"/>
    <cellStyle name="Normal 15 3" xfId="746" xr:uid="{A3BA80D1-8E64-4E92-BB5E-3009902526BB}"/>
    <cellStyle name="Normal 15 4" xfId="747" xr:uid="{C351B873-55E4-4C18-803C-1BAF9870F6AB}"/>
    <cellStyle name="Normal 15 5" xfId="748" xr:uid="{6DB27F07-D98E-4ECA-A1D0-AE8F0E5C3C5A}"/>
    <cellStyle name="Normal 15 6" xfId="749" xr:uid="{09B2E0CD-07F8-4719-9359-27549E293CCC}"/>
    <cellStyle name="Normal 15 7" xfId="750" xr:uid="{A4FADA58-74E2-448F-949A-BD16B384B94E}"/>
    <cellStyle name="Normal 15 8" xfId="751" xr:uid="{8BF4DD1D-7DF9-47F2-A538-CA12B1105158}"/>
    <cellStyle name="Normal 15 9" xfId="752" xr:uid="{051CE852-329E-4D25-BCDA-39CC2ADBF345}"/>
    <cellStyle name="Normal 16 10" xfId="753" xr:uid="{2E2DA9CF-D41C-4060-8C88-B127668380AD}"/>
    <cellStyle name="Normal 16 2" xfId="754" xr:uid="{D00C11FC-43FF-46A6-811C-5CE9148AB895}"/>
    <cellStyle name="Normal 16 3" xfId="755" xr:uid="{84D74C97-EA24-4602-ADF4-AB6DA408B3FD}"/>
    <cellStyle name="Normal 16 4" xfId="756" xr:uid="{57B8F41D-F29C-4A52-80E4-C0C15ABDAFBD}"/>
    <cellStyle name="Normal 16 5" xfId="757" xr:uid="{A9B6F955-5D65-4694-8B19-404F8633FC2A}"/>
    <cellStyle name="Normal 16 6" xfId="758" xr:uid="{50E496A9-536F-499A-95C1-1AB062DA9A0B}"/>
    <cellStyle name="Normal 16 7" xfId="759" xr:uid="{F6DA282F-D57C-4FB4-BDDB-23AE1E426595}"/>
    <cellStyle name="Normal 16 8" xfId="760" xr:uid="{59AA0130-C703-4DC9-83F4-6FFAA5EC51E9}"/>
    <cellStyle name="Normal 16 9" xfId="761" xr:uid="{95DBF8E5-FC09-4F7C-A4CB-DC146D027046}"/>
    <cellStyle name="Normal 17 10" xfId="762" xr:uid="{1627D66E-6BAC-4E2D-ACF2-A9461658489A}"/>
    <cellStyle name="Normal 17 2" xfId="763" xr:uid="{2407DB41-FD1C-4E13-8AF3-E6FF4882782C}"/>
    <cellStyle name="Normal 17 3" xfId="764" xr:uid="{3536F42D-5B19-4128-AC88-15BCB6656177}"/>
    <cellStyle name="Normal 17 4" xfId="765" xr:uid="{A7A28CA7-CEB2-4028-96BF-EFCEE7C08719}"/>
    <cellStyle name="Normal 17 5" xfId="766" xr:uid="{9F3BB90A-2C34-4E88-9582-60689162D395}"/>
    <cellStyle name="Normal 17 6" xfId="767" xr:uid="{60C1852C-3E31-4076-9482-D0D791F1CEB0}"/>
    <cellStyle name="Normal 17 7" xfId="768" xr:uid="{734248C2-BAD8-4E7D-9B4E-0E51E4F8290D}"/>
    <cellStyle name="Normal 17 8" xfId="769" xr:uid="{483CAA14-3CAC-4971-A05B-D2AE741998F2}"/>
    <cellStyle name="Normal 17 9" xfId="770" xr:uid="{37234C60-A201-49BC-AC04-4070CF895EA1}"/>
    <cellStyle name="Normal 18 10" xfId="771" xr:uid="{7B337767-CE50-4508-9071-13B2CF75FA73}"/>
    <cellStyle name="Normal 18 2" xfId="772" xr:uid="{02DAB32C-4185-4C43-959D-33FC87677373}"/>
    <cellStyle name="Normal 18 3" xfId="773" xr:uid="{D90997CC-ABF9-42F1-95CB-0901F3CAA697}"/>
    <cellStyle name="Normal 18 4" xfId="774" xr:uid="{8F00EDCD-8A34-4BEC-B274-A8B37E4BB89F}"/>
    <cellStyle name="Normal 18 5" xfId="775" xr:uid="{931C878C-E96C-4AF9-B0FB-9C7637210CAF}"/>
    <cellStyle name="Normal 18 6" xfId="776" xr:uid="{D63A094D-E65E-48A3-ACE3-9FD25948B8FC}"/>
    <cellStyle name="Normal 18 7" xfId="777" xr:uid="{D3A83794-B7DC-4F21-B558-F73AAB090CDF}"/>
    <cellStyle name="Normal 18 8" xfId="778" xr:uid="{EDCC59B1-039D-4660-874A-FF56A1E2B8B2}"/>
    <cellStyle name="Normal 18 9" xfId="779" xr:uid="{66713110-3129-4150-AC51-09CC615E7B31}"/>
    <cellStyle name="Normal 19 10" xfId="780" xr:uid="{73239AC9-A4B1-451C-BE4F-7E49ABAF943E}"/>
    <cellStyle name="Normal 19 2" xfId="781" xr:uid="{75439FF7-BA0F-4C20-90FF-5C001BA90F42}"/>
    <cellStyle name="Normal 19 3" xfId="782" xr:uid="{4AE08579-C5E1-4424-AB16-5E9529698CCD}"/>
    <cellStyle name="Normal 19 4" xfId="783" xr:uid="{CB191351-A44A-411E-A955-A736810C388A}"/>
    <cellStyle name="Normal 19 5" xfId="784" xr:uid="{A1248E59-5564-4F72-8561-8576781D3912}"/>
    <cellStyle name="Normal 19 6" xfId="785" xr:uid="{C4ADFA69-25EA-4224-BD39-FD80720FB1D9}"/>
    <cellStyle name="Normal 19 7" xfId="786" xr:uid="{8AC3011A-B988-4406-9A78-5C3336DFF96B}"/>
    <cellStyle name="Normal 19 8" xfId="787" xr:uid="{CBA0E4BB-D20F-42F7-B006-D7560EA087A7}"/>
    <cellStyle name="Normal 19 9" xfId="788" xr:uid="{C778106D-5357-43C9-854E-09BB4E3E45AE}"/>
    <cellStyle name="Normal 2" xfId="1" xr:uid="{00000000-0005-0000-0000-000002000000}"/>
    <cellStyle name="Normal 2 10" xfId="789" xr:uid="{64D3AC72-619E-47A3-AD77-2CD1471BCB6D}"/>
    <cellStyle name="Normal 2 10 2" xfId="790" xr:uid="{DF31B192-C930-43C4-BC7C-285D32C42348}"/>
    <cellStyle name="Normal 2 10 3" xfId="791" xr:uid="{6551B92F-4F4F-4472-A121-3583E95C868D}"/>
    <cellStyle name="Normal 2 10 4" xfId="792" xr:uid="{C776A9FC-4E15-435C-8BC3-42618E3D97D2}"/>
    <cellStyle name="Normal 2 10 5" xfId="793" xr:uid="{EBC7C61B-3C0C-4703-8CC3-B835831DB089}"/>
    <cellStyle name="Normal 2 10 6" xfId="794" xr:uid="{6C68CA4C-7C13-4138-8115-886189DD426B}"/>
    <cellStyle name="Normal 2 10 7" xfId="795" xr:uid="{2A6CC630-4AD0-4BCC-8105-5741BB1B4755}"/>
    <cellStyle name="Normal 2 10 8" xfId="796" xr:uid="{1777E7AE-6EF2-4200-8A1E-B329BA6D5CEC}"/>
    <cellStyle name="Normal 2 11" xfId="797" xr:uid="{17453D0C-9FB7-43C3-BFE5-808721B3E48D}"/>
    <cellStyle name="Normal 2 11 2" xfId="798" xr:uid="{0B07A87C-4130-4DE3-AA60-519A5732BD93}"/>
    <cellStyle name="Normal 2 11 3" xfId="799" xr:uid="{7AAC8310-0B36-40F2-9968-71119306EE71}"/>
    <cellStyle name="Normal 2 11 4" xfId="800" xr:uid="{5A32E0CE-55A9-4347-A7EB-65DD3EF2EA89}"/>
    <cellStyle name="Normal 2 11 5" xfId="801" xr:uid="{ECD5BEDC-9339-4328-8B0C-CC01C2166229}"/>
    <cellStyle name="Normal 2 11 6" xfId="802" xr:uid="{A85A7592-15A8-4053-8BFF-5CA36D178EE8}"/>
    <cellStyle name="Normal 2 11 7" xfId="803" xr:uid="{4F5AD070-CBD9-47A2-95E6-225197B554DA}"/>
    <cellStyle name="Normal 2 11 8" xfId="804" xr:uid="{D57B9AEB-5F46-4DF4-B42D-869F76034239}"/>
    <cellStyle name="Normal 2 12" xfId="805" xr:uid="{CC7C7A2B-A619-4E4A-AA7E-24BD08C7B9B4}"/>
    <cellStyle name="Normal 2 12 2" xfId="806" xr:uid="{825F68B7-B8BB-4CCD-88A0-DEE585E162A3}"/>
    <cellStyle name="Normal 2 12 3" xfId="807" xr:uid="{B35D14B5-A29F-4229-9A26-CF5ABD883A38}"/>
    <cellStyle name="Normal 2 12 4" xfId="808" xr:uid="{F6483E1D-53A7-4A7E-B6A0-D0A7D235A889}"/>
    <cellStyle name="Normal 2 13" xfId="809" xr:uid="{FEF44CB6-298B-42DF-BEFC-3039A1DD5A30}"/>
    <cellStyle name="Normal 2 13 2" xfId="810" xr:uid="{FF914ED2-41E0-488A-B37D-0831842730D9}"/>
    <cellStyle name="Normal 2 14" xfId="811" xr:uid="{AE6E88B2-5193-458B-AADA-9D5DA1E6E62A}"/>
    <cellStyle name="Normal 2 14 2" xfId="812" xr:uid="{33F3383A-1310-42EF-876F-59A8EE5CF08B}"/>
    <cellStyle name="Normal 2 15" xfId="813" xr:uid="{C0130D25-498B-4BD9-BC5E-C68A8E69FF33}"/>
    <cellStyle name="Normal 2 16" xfId="814" xr:uid="{631A81E2-1BC8-4770-8CCC-71E9D8129184}"/>
    <cellStyle name="Normal 2 2" xfId="3" xr:uid="{EC922B15-529F-4686-8CB7-21CDA1268E10}"/>
    <cellStyle name="Normal 2 2 10" xfId="816" xr:uid="{994878CD-61C1-474C-A074-35B478670168}"/>
    <cellStyle name="Normal 2 2 11" xfId="815" xr:uid="{837DF40D-5FD3-42E2-B74F-5C42EC9FAFB6}"/>
    <cellStyle name="Normal 2 2 2" xfId="817" xr:uid="{00657127-BE7E-439B-87E8-0275C33199A5}"/>
    <cellStyle name="Normal 2 2 3" xfId="818" xr:uid="{FB7C6C29-DDE6-4FD4-B287-459F260B3841}"/>
    <cellStyle name="Normal 2 2 4" xfId="819" xr:uid="{EFFF9AB1-15B5-44A1-8796-CCBBC40A4199}"/>
    <cellStyle name="Normal 2 2 5" xfId="820" xr:uid="{1B6073A9-9B49-449E-A6F0-3234D680D78A}"/>
    <cellStyle name="Normal 2 2 6" xfId="821" xr:uid="{F8A75C02-69EA-4B1C-ACA7-D6FA39790ADE}"/>
    <cellStyle name="Normal 2 2 7" xfId="822" xr:uid="{50E2E023-0700-40A5-BE50-FBDF47BB6DF5}"/>
    <cellStyle name="Normal 2 2 8" xfId="823" xr:uid="{3D0B8BD1-801C-4D97-A76B-71E7B326C039}"/>
    <cellStyle name="Normal 2 2 9" xfId="824" xr:uid="{394F0028-6ADB-4EAA-84B2-3F74B769C71B}"/>
    <cellStyle name="Normal 2 3" xfId="825" xr:uid="{57941F50-1E4C-4277-9F67-A5ECC6C301F5}"/>
    <cellStyle name="Normal 2 3 2" xfId="826" xr:uid="{120A42C7-9B8C-4A13-B1A5-F129B1E24E96}"/>
    <cellStyle name="Normal 2 4" xfId="827" xr:uid="{CC4BB96C-9A4A-4DE2-9421-B31DDF9EDA5F}"/>
    <cellStyle name="Normal 2 5" xfId="828" xr:uid="{0FDB7741-CFEF-4228-884C-4178B10AF3FA}"/>
    <cellStyle name="Normal 2 6" xfId="829" xr:uid="{C7D850AB-CB7B-46F6-A7A9-F161CB8458B6}"/>
    <cellStyle name="Normal 2 7" xfId="830" xr:uid="{F79CEDB6-92BE-475D-95A0-3E4083890FBB}"/>
    <cellStyle name="Normal 2 8" xfId="831" xr:uid="{FBF2790A-FDD7-44F5-99D7-1C7A78546349}"/>
    <cellStyle name="Normal 2 9" xfId="832" xr:uid="{2F24FF49-B5EE-423A-9E54-E2C60CEC12BC}"/>
    <cellStyle name="Normal 20 10" xfId="833" xr:uid="{23952189-A72D-4461-948D-FE46F22A3D7F}"/>
    <cellStyle name="Normal 20 2" xfId="834" xr:uid="{E907197A-620F-4108-86FA-702EA8B22DAF}"/>
    <cellStyle name="Normal 20 3" xfId="835" xr:uid="{0719C302-9F6F-4E2A-921A-BDADBFAF958F}"/>
    <cellStyle name="Normal 20 4" xfId="836" xr:uid="{CDBACAFB-8404-4974-96B7-A90E656E5BC6}"/>
    <cellStyle name="Normal 20 5" xfId="837" xr:uid="{0BB0DD4A-9F33-4E9E-90E7-76DEAD5C0988}"/>
    <cellStyle name="Normal 20 6" xfId="838" xr:uid="{38AEBA6F-0ECF-4AA3-9449-706D47197999}"/>
    <cellStyle name="Normal 20 7" xfId="839" xr:uid="{463EC81B-5F94-4C53-968A-19A602F6F1CC}"/>
    <cellStyle name="Normal 20 8" xfId="840" xr:uid="{B2879700-4A81-4A20-87D9-33FA68339676}"/>
    <cellStyle name="Normal 20 9" xfId="841" xr:uid="{BBA9BF9F-2B35-4F19-BCB1-BA5CAD3DB214}"/>
    <cellStyle name="Normal 21 2" xfId="842" xr:uid="{39D3E8D6-2397-4B45-A8AF-ED6D9C82E6EC}"/>
    <cellStyle name="Normal 21 3" xfId="843" xr:uid="{AD58A9AF-F0F3-468E-93E9-2A78FFC0AE4B}"/>
    <cellStyle name="Normal 21 4" xfId="844" xr:uid="{105111CB-3C89-450A-8574-5CD75AEC7AD9}"/>
    <cellStyle name="Normal 21 5" xfId="845" xr:uid="{81E1AB03-A20E-4EBC-8AAD-2D50CCC695C3}"/>
    <cellStyle name="Normal 21 6" xfId="846" xr:uid="{B0606691-1E72-406C-BF2B-213F40691E20}"/>
    <cellStyle name="Normal 21 7" xfId="847" xr:uid="{0B60EAA9-9F02-4DD0-A873-E91B50066893}"/>
    <cellStyle name="Normal 21 8" xfId="848" xr:uid="{093E0EAD-4645-44F4-9D0A-D5FB311E7487}"/>
    <cellStyle name="Normal 21 9" xfId="849" xr:uid="{E21F8283-E47A-49B0-A655-B9768ACE3ECE}"/>
    <cellStyle name="Normal 22 2" xfId="850" xr:uid="{6FE23B6E-E6B9-44D4-BCAC-5C21323BD1C8}"/>
    <cellStyle name="Normal 22 3" xfId="851" xr:uid="{27861C61-CEE9-4096-8115-6496E53D96B5}"/>
    <cellStyle name="Normal 22 4" xfId="852" xr:uid="{A21210CC-8145-49EC-B3FF-0E69F5462762}"/>
    <cellStyle name="Normal 22 5" xfId="853" xr:uid="{ED3ECC8B-93DB-4926-812C-3DA93CB5A7FD}"/>
    <cellStyle name="Normal 22 6" xfId="854" xr:uid="{1BC0AE62-D104-4157-A226-2A6FC67AD0BD}"/>
    <cellStyle name="Normal 22 7" xfId="855" xr:uid="{1553585A-C571-47A4-AC44-E67F6BE16630}"/>
    <cellStyle name="Normal 22 8" xfId="856" xr:uid="{398F7D5E-4EBC-4374-A307-0E4145565AD9}"/>
    <cellStyle name="Normal 22 9" xfId="857" xr:uid="{D787CC04-A73F-4FD1-ACD1-3698F45C30F0}"/>
    <cellStyle name="Normal 23 2" xfId="858" xr:uid="{E950CBF3-515B-4391-B908-1E21D53D4FF3}"/>
    <cellStyle name="Normal 23 3" xfId="859" xr:uid="{C8C77FCE-F35B-4F03-9A32-D07B6F51C0FE}"/>
    <cellStyle name="Normal 23 4" xfId="860" xr:uid="{6BE7547A-FD2C-4006-B915-2E2A889F49B0}"/>
    <cellStyle name="Normal 23 5" xfId="861" xr:uid="{E112A4E5-9291-45CE-ACD6-4169099AD97C}"/>
    <cellStyle name="Normal 23 6" xfId="862" xr:uid="{F2550BA0-8DC7-4A40-A37A-864D793D4A37}"/>
    <cellStyle name="Normal 23 7" xfId="863" xr:uid="{8CB39D1E-1251-4DA4-BA34-796A3AF2075D}"/>
    <cellStyle name="Normal 23 8" xfId="864" xr:uid="{E5708F50-B1DA-4F0D-8B3D-7B853A4B76CB}"/>
    <cellStyle name="Normal 23 9" xfId="865" xr:uid="{22FDFBD4-CF8D-4AE0-A3B5-67D6821F1307}"/>
    <cellStyle name="Normal 24 2" xfId="866" xr:uid="{92355898-EBB1-4F2E-B750-0689AC5E995F}"/>
    <cellStyle name="Normal 24 3" xfId="867" xr:uid="{EF23389E-DD38-4A77-B24B-6C3A7A64B98B}"/>
    <cellStyle name="Normal 24 4" xfId="868" xr:uid="{83187F06-7339-4D50-A686-FEFF9B727384}"/>
    <cellStyle name="Normal 24 5" xfId="869" xr:uid="{F43EF1E1-9694-4F99-9019-195C8EAA4998}"/>
    <cellStyle name="Normal 24 6" xfId="870" xr:uid="{C239783A-950B-4794-BDAF-F8BF87BF603D}"/>
    <cellStyle name="Normal 24 7" xfId="871" xr:uid="{1C7A4B08-5BB3-4D71-9495-FB9818B79A06}"/>
    <cellStyle name="Normal 24 8" xfId="872" xr:uid="{C573716A-D48B-4420-A9A5-11A5D37D7020}"/>
    <cellStyle name="Normal 24 9" xfId="873" xr:uid="{4B4A8D8A-5D3A-4117-89CE-5C83BF4CABD1}"/>
    <cellStyle name="Normal 25 2" xfId="874" xr:uid="{A27744E6-057C-405E-BDBC-8471F5BF78EE}"/>
    <cellStyle name="Normal 25 3" xfId="875" xr:uid="{277D71DC-5DF7-462E-8F79-F3AF59C4D975}"/>
    <cellStyle name="Normal 25 4" xfId="876" xr:uid="{31161A0B-7FDB-4C9F-AA57-001384FB8AAA}"/>
    <cellStyle name="Normal 25 5" xfId="877" xr:uid="{09ECE559-3436-4B8A-88B1-7672000341B1}"/>
    <cellStyle name="Normal 25 6" xfId="878" xr:uid="{DF3C30E8-F41B-4C5F-BA78-9DA664F59E91}"/>
    <cellStyle name="Normal 25 7" xfId="879" xr:uid="{E00B140D-1E62-4DCD-849F-6621E3944E67}"/>
    <cellStyle name="Normal 25 8" xfId="880" xr:uid="{BA39947B-4116-4A52-991E-84BF3E1C1DF1}"/>
    <cellStyle name="Normal 25 9" xfId="881" xr:uid="{30A7C788-96C0-4EA6-B416-94CD67BB63C9}"/>
    <cellStyle name="Normal 26 2" xfId="882" xr:uid="{6EC71507-F4CF-4A05-AE50-1C4315C62CA6}"/>
    <cellStyle name="Normal 26 3" xfId="883" xr:uid="{A98E07CC-3C2A-4ECA-B8D6-1513A857384A}"/>
    <cellStyle name="Normal 26 4" xfId="884" xr:uid="{C2FF1B71-B573-4C90-8057-EBD0AA19D9AF}"/>
    <cellStyle name="Normal 26 5" xfId="885" xr:uid="{36420329-BEBC-4323-BE8F-A4E0B3B1CE55}"/>
    <cellStyle name="Normal 26 6" xfId="886" xr:uid="{1DD0D826-FD1C-4983-86C6-85FF1D5F0C91}"/>
    <cellStyle name="Normal 26 7" xfId="887" xr:uid="{8DCD047C-D833-4025-A85E-54D33F8711F5}"/>
    <cellStyle name="Normal 26 8" xfId="888" xr:uid="{A1DEA17F-66EF-4E58-96E9-CE0481C636AE}"/>
    <cellStyle name="Normal 26 9" xfId="889" xr:uid="{99F92B03-F658-4B4C-9B57-627D5FAC18CD}"/>
    <cellStyle name="Normal 27 2" xfId="890" xr:uid="{954CE9E5-25DB-430C-8488-3A8B9146EFC4}"/>
    <cellStyle name="Normal 27 3" xfId="891" xr:uid="{AA9D1014-9CD7-46C8-A249-D08C1763B2BC}"/>
    <cellStyle name="Normal 27 4" xfId="892" xr:uid="{6DE497D3-41AC-45D7-822E-89338288C318}"/>
    <cellStyle name="Normal 27 5" xfId="893" xr:uid="{71BD9FCC-4520-4DF3-A1DF-BB0703C21CE5}"/>
    <cellStyle name="Normal 27 6" xfId="894" xr:uid="{9AD2928A-5E61-4C93-9322-939E415787C4}"/>
    <cellStyle name="Normal 27 7" xfId="895" xr:uid="{EEC64082-F87F-494B-B1F8-4B393B5600B9}"/>
    <cellStyle name="Normal 27 8" xfId="896" xr:uid="{7F1858CD-F8CC-427B-90F3-B6F170AF35AE}"/>
    <cellStyle name="Normal 27 9" xfId="897" xr:uid="{ECFE14E7-CA8F-4A4C-856D-8B06E833941F}"/>
    <cellStyle name="Normal 28 2" xfId="898" xr:uid="{6527CB7B-2A62-45C0-9D78-CFD6FF25CCA5}"/>
    <cellStyle name="Normal 28 3" xfId="899" xr:uid="{E266CB2D-4A8D-4C82-AFFB-227DC2F62351}"/>
    <cellStyle name="Normal 28 4" xfId="900" xr:uid="{454490B6-A9E9-4C6F-9F56-2C7540A58D20}"/>
    <cellStyle name="Normal 28 5" xfId="901" xr:uid="{277500CB-50B3-46D2-B33F-92E0E396BBB2}"/>
    <cellStyle name="Normal 28 6" xfId="902" xr:uid="{2668F017-9091-4549-8C71-9F7E360AE9DD}"/>
    <cellStyle name="Normal 28 7" xfId="903" xr:uid="{D0142AF1-FD9F-45E6-B63A-A5CFE3806304}"/>
    <cellStyle name="Normal 28 8" xfId="904" xr:uid="{3DC15E7C-F7C5-410F-9B82-D1CE19AA8EFA}"/>
    <cellStyle name="Normal 29 2" xfId="905" xr:uid="{56837B0F-5CA9-4923-82FA-38C3E3F6F27B}"/>
    <cellStyle name="Normal 3" xfId="906" xr:uid="{63DBE8AE-BC1D-436D-B44E-4B345CD07739}"/>
    <cellStyle name="Normal 3 10" xfId="907" xr:uid="{20BC5004-0420-4408-94D2-A74750EE091F}"/>
    <cellStyle name="Normal 3 11" xfId="908" xr:uid="{DC37E405-7136-4AD0-B807-0B3252FDE979}"/>
    <cellStyle name="Normal 3 12" xfId="909" xr:uid="{430FFFB9-E426-42DB-B6F7-4C665777FED5}"/>
    <cellStyle name="Normal 3 13" xfId="910" xr:uid="{71869934-0D55-48A2-B8B9-DA8EACD9AF5A}"/>
    <cellStyle name="Normal 3 14" xfId="911" xr:uid="{7C8FBD0D-62B9-4CE6-BFB3-EC4E9ADB4C88}"/>
    <cellStyle name="Normal 3 15" xfId="912" xr:uid="{70CCC48D-A8FF-424B-A794-66547C90A339}"/>
    <cellStyle name="Normal 3 16" xfId="913" xr:uid="{1341AD18-D53A-4E3A-82F0-CAF2944B0D14}"/>
    <cellStyle name="Normal 3 17" xfId="914" xr:uid="{0D77BBF3-2236-4D82-A437-2A4F6E4A1592}"/>
    <cellStyle name="Normal 3 18" xfId="915" xr:uid="{ED51396E-0B55-4D52-9F11-89C33D7CE693}"/>
    <cellStyle name="Normal 3 2" xfId="916" xr:uid="{84F4CF9A-9E6F-43FB-B889-1705CD92B50C}"/>
    <cellStyle name="Normal 3 2 2" xfId="917" xr:uid="{EC1686AC-5617-471D-91CC-3ECD0CAEC0C7}"/>
    <cellStyle name="Normal 3 3" xfId="918" xr:uid="{62E1B975-476F-4F1B-87D0-78F13F44CE1E}"/>
    <cellStyle name="Normal 3 3 2" xfId="919" xr:uid="{958699BB-BC2D-4A0C-9226-7CF52A5EB40D}"/>
    <cellStyle name="Normal 3 4" xfId="920" xr:uid="{491F9A9E-44B0-41C4-A360-B5533089C18A}"/>
    <cellStyle name="Normal 3 5" xfId="921" xr:uid="{06318978-B535-4F28-A64E-CF3EF5762235}"/>
    <cellStyle name="Normal 3 5 2" xfId="922" xr:uid="{961C224E-6BDC-4CC8-BF64-698A934C0B44}"/>
    <cellStyle name="Normal 3 6" xfId="923" xr:uid="{B94156A2-76C8-4BB4-A7A4-87108044B768}"/>
    <cellStyle name="Normal 3 7" xfId="924" xr:uid="{57098BC9-4C1E-42AA-870F-E304B3937E94}"/>
    <cellStyle name="Normal 3 7 2" xfId="925" xr:uid="{C13AE34E-383F-4E62-8FC0-52F4A0CCAC72}"/>
    <cellStyle name="Normal 3 8" xfId="926" xr:uid="{10A7EEBF-30A8-4F59-8A94-96008E0EED86}"/>
    <cellStyle name="Normal 3 9" xfId="927" xr:uid="{ADE3813F-F3D9-4AC2-9859-024728E3A0F5}"/>
    <cellStyle name="Normal 30 2" xfId="928" xr:uid="{3CB76977-D225-4368-A7AB-67204E2E86D6}"/>
    <cellStyle name="Normal 30 3" xfId="929" xr:uid="{74AF9D6C-6D97-44FB-B707-ADC12658AF2B}"/>
    <cellStyle name="Normal 30 4" xfId="930" xr:uid="{8FC647D3-A7EB-45D5-B15D-26A7EF48B90B}"/>
    <cellStyle name="Normal 30 5" xfId="931" xr:uid="{6D560572-32AD-4414-9CD9-0461D1CE30F6}"/>
    <cellStyle name="Normal 30 6" xfId="932" xr:uid="{6333630E-4282-4191-AAB8-3253F7997256}"/>
    <cellStyle name="Normal 30 7" xfId="933" xr:uid="{F15DC041-07A3-490F-8AAD-CD20B3EFF44D}"/>
    <cellStyle name="Normal 30 8" xfId="934" xr:uid="{63FF7CAA-F727-4C67-A4A6-9BF18E702583}"/>
    <cellStyle name="Normal 31 2" xfId="935" xr:uid="{3F30ABBB-FD33-4C67-8D73-F0CB133B14E1}"/>
    <cellStyle name="Normal 31 3" xfId="936" xr:uid="{A67EAB4C-B5D2-4EA9-AE75-C89C49A3775B}"/>
    <cellStyle name="Normal 31 4" xfId="937" xr:uid="{F8107C0A-B033-4A29-802F-E259088A94C5}"/>
    <cellStyle name="Normal 31 5" xfId="938" xr:uid="{E49F1A65-C3EF-40D2-B282-9B5573272547}"/>
    <cellStyle name="Normal 31 6" xfId="939" xr:uid="{DD0CACF9-EDB0-4E25-BA6F-2311EDB68FB2}"/>
    <cellStyle name="Normal 31 7" xfId="940" xr:uid="{DFEA6DBC-4FA9-49B5-8913-65E99646F3D6}"/>
    <cellStyle name="Normal 31 8" xfId="941" xr:uid="{E4C8FCEA-97BA-47A9-B557-A4F03F850009}"/>
    <cellStyle name="Normal 32 2" xfId="942" xr:uid="{4E310D9A-C82E-4B3E-B976-19C332A1E843}"/>
    <cellStyle name="Normal 32 2 2" xfId="943" xr:uid="{3D4BC4AB-5D59-4D84-8EC9-72762E531DC5}"/>
    <cellStyle name="Normal 32 2 3" xfId="944" xr:uid="{74DB7350-B7C8-430D-9393-934DC71DC504}"/>
    <cellStyle name="Normal 32 2 4" xfId="945" xr:uid="{735EAEE1-B2CC-4321-9719-065BA1468948}"/>
    <cellStyle name="Normal 32 3" xfId="946" xr:uid="{1D1AAC53-B0B2-48D3-B19A-29CA97C263C1}"/>
    <cellStyle name="Normal 32 4" xfId="947" xr:uid="{01D6E6DD-DE58-4C15-95DA-7E9416F8B9A4}"/>
    <cellStyle name="Normal 32 5" xfId="948" xr:uid="{2A326C55-7BF3-417D-950E-96BDD7476E60}"/>
    <cellStyle name="Normal 32 6" xfId="949" xr:uid="{BFAC41C8-4893-4D8B-A124-E0105BA21427}"/>
    <cellStyle name="Normal 33 2" xfId="950" xr:uid="{E68DA036-B661-40BE-8CAC-C02126E90B59}"/>
    <cellStyle name="Normal 33 3" xfId="951" xr:uid="{046A0723-722B-4B6D-8073-CD43B5849CD6}"/>
    <cellStyle name="Normal 33 4" xfId="952" xr:uid="{1422586D-8D1B-48B4-AAAA-B6E3D30FFD51}"/>
    <cellStyle name="Normal 33 5" xfId="953" xr:uid="{3B30F1AF-64AE-4CD9-8D1F-179BA55C5755}"/>
    <cellStyle name="Normal 33 6" xfId="954" xr:uid="{09CEE37A-0C1F-4E78-ACDE-B9ECE51DDC39}"/>
    <cellStyle name="Normal 33 6 2" xfId="955" xr:uid="{555266BF-C397-48A2-8EB2-E38A430D7D7A}"/>
    <cellStyle name="Normal 33 7" xfId="956" xr:uid="{9AB7A426-4F47-4292-AB19-822610C4EEB2}"/>
    <cellStyle name="Normal 33 8" xfId="957" xr:uid="{4192C071-FDB5-4D99-AAA5-21FCADE3445C}"/>
    <cellStyle name="Normal 34 2" xfId="958" xr:uid="{19EA3EDF-4722-48E9-B2F5-FA7692D5E6CC}"/>
    <cellStyle name="Normal 34 3" xfId="959" xr:uid="{6FA4C0A4-8774-4A1E-B471-037DAEF4014C}"/>
    <cellStyle name="Normal 34 4" xfId="960" xr:uid="{D08A7668-BEE2-4E39-8253-EBD08AEDF03B}"/>
    <cellStyle name="Normal 34 5" xfId="961" xr:uid="{2B9C04CF-84D3-48A5-B09A-185EE418182C}"/>
    <cellStyle name="Normal 34 6" xfId="962" xr:uid="{776E3057-33B4-4F6E-ADD1-05B66CBDD6ED}"/>
    <cellStyle name="Normal 34 6 2" xfId="963" xr:uid="{D636B6CE-01EF-4B57-A786-4BFAE2458740}"/>
    <cellStyle name="Normal 34 7" xfId="964" xr:uid="{00181018-B831-491E-9E7E-99246D9D3248}"/>
    <cellStyle name="Normal 34 8" xfId="965" xr:uid="{50023561-B3DB-4852-9FDD-4C5F731EEAF6}"/>
    <cellStyle name="Normal 35 2" xfId="966" xr:uid="{9C50AA35-470D-48EF-89A6-7905CC66F2CF}"/>
    <cellStyle name="Normal 35 3" xfId="967" xr:uid="{CB32A2BE-B2B5-4221-8B56-BAD8BE80F94C}"/>
    <cellStyle name="Normal 36 2" xfId="968" xr:uid="{697D1511-38C1-4DFF-84DC-761D4FBFF04C}"/>
    <cellStyle name="Normal 36 3" xfId="969" xr:uid="{E2624055-1B2B-42EA-9A39-C023EED71556}"/>
    <cellStyle name="Normal 37 2" xfId="970" xr:uid="{A13C4C8E-EEAB-4242-BC60-9D7EFD8D2DE1}"/>
    <cellStyle name="Normal 37 3" xfId="971" xr:uid="{11575EFF-99BF-41EC-95A8-A0E53B8C447B}"/>
    <cellStyle name="Normal 38 2" xfId="972" xr:uid="{3E9228E1-F5B5-48D9-8116-6F4A62AD03D3}"/>
    <cellStyle name="Normal 38 3" xfId="973" xr:uid="{91C155DC-3247-415B-BD8C-A70B8995C8FC}"/>
    <cellStyle name="Normal 38 4" xfId="974" xr:uid="{0AE84EE4-0E21-4BA4-8D31-0ED483EE3B5B}"/>
    <cellStyle name="Normal 38 5" xfId="975" xr:uid="{A02E7351-8D8A-4BD7-BDDE-D589E66DB9AD}"/>
    <cellStyle name="Normal 39 2" xfId="976" xr:uid="{EAC20BC3-5592-4E61-BFB6-5A8FFA710E0D}"/>
    <cellStyle name="Normal 39 3" xfId="977" xr:uid="{E32055D1-128A-40D3-A68C-00CCB89FDDC2}"/>
    <cellStyle name="Normal 39 4" xfId="978" xr:uid="{78E6A7BC-8B76-47AD-BEF3-F6E7DFB3BFBA}"/>
    <cellStyle name="Normal 4" xfId="979" xr:uid="{A2ADB6E1-E471-4093-BF7D-3A23CEBA6687}"/>
    <cellStyle name="Normal 4 2" xfId="980" xr:uid="{9CF7D38C-FDA3-425C-928F-31323F23C0D8}"/>
    <cellStyle name="Normal 41 2" xfId="981" xr:uid="{AE333823-FFCC-4972-9AE2-3DD6E4AD1E85}"/>
    <cellStyle name="Normal 41 3" xfId="982" xr:uid="{ED88458D-BFF5-4CFF-B8A4-D672C895A13C}"/>
    <cellStyle name="Normal 43 2" xfId="983" xr:uid="{A6F17F8B-8560-4F4D-999B-FFEFEF9B06F4}"/>
    <cellStyle name="Normal 43 3" xfId="984" xr:uid="{8C60E111-6976-4075-93AB-F8CFC8BB79D3}"/>
    <cellStyle name="Normal 5" xfId="985" xr:uid="{968B3BC3-02AD-4F42-9EB4-AC31B5D5A6DD}"/>
    <cellStyle name="Normal 5 10" xfId="986" xr:uid="{E2D2540C-2C00-4FB2-867E-7E61F818CBB8}"/>
    <cellStyle name="Normal 5 11" xfId="987" xr:uid="{5E8A7755-72AA-446A-8E6D-41F0CBEDD65D}"/>
    <cellStyle name="Normal 5 12" xfId="988" xr:uid="{3235DBC7-77B7-4599-AB94-11E7C290AB41}"/>
    <cellStyle name="Normal 5 13" xfId="989" xr:uid="{3D26E2F6-F9EC-4B82-8E21-2768A91B8D98}"/>
    <cellStyle name="Normal 5 14" xfId="990" xr:uid="{521F71FE-2A1F-4936-9422-56135AB5E850}"/>
    <cellStyle name="Normal 5 15" xfId="991" xr:uid="{5B607372-5CEB-406D-BF79-710C943223F0}"/>
    <cellStyle name="Normal 5 16" xfId="992" xr:uid="{F5D6BFF6-05D3-4F0D-9CD2-3C7CA05E8F03}"/>
    <cellStyle name="Normal 5 17" xfId="993" xr:uid="{8D86B180-E55C-4A8D-8331-F1A96F251CD3}"/>
    <cellStyle name="Normal 5 2" xfId="994" xr:uid="{9FE01893-C29B-4D8B-A488-387C69AE9DF9}"/>
    <cellStyle name="Normal 5 3" xfId="995" xr:uid="{B942F739-BCC8-4631-84C5-6DD17285ADCA}"/>
    <cellStyle name="Normal 5 4" xfId="996" xr:uid="{09960490-DBF2-4481-80B5-FDA1ED9728F3}"/>
    <cellStyle name="Normal 5 5" xfId="997" xr:uid="{C20E0113-86B2-48CE-9954-849C530073C5}"/>
    <cellStyle name="Normal 5 6" xfId="998" xr:uid="{B87AB7EF-B8BD-4E9D-BDB2-50D44DEB3357}"/>
    <cellStyle name="Normal 5 7" xfId="999" xr:uid="{F7435BF3-2453-4377-8238-4EE2C18CDB75}"/>
    <cellStyle name="Normal 5 8" xfId="1000" xr:uid="{92204C94-B51C-4B72-A8CA-318159C28183}"/>
    <cellStyle name="Normal 5 9" xfId="1001" xr:uid="{FF216465-9F92-4A6D-B05E-7DDE07D74B2C}"/>
    <cellStyle name="Normal 6" xfId="1002" xr:uid="{0DEFA0D6-209E-44B6-B30F-E342D4AE2D9D}"/>
    <cellStyle name="Normal 6 10" xfId="1003" xr:uid="{3A80854E-9C89-4A3E-97DB-5439AC3AC07E}"/>
    <cellStyle name="Normal 6 11" xfId="1004" xr:uid="{8030ECE6-D98F-43FA-9AF3-EEA21B9DFBDB}"/>
    <cellStyle name="Normal 6 12" xfId="1005" xr:uid="{119564F1-27ED-42B9-96C7-9D76EF1C5715}"/>
    <cellStyle name="Normal 6 13" xfId="1006" xr:uid="{65762119-8AA2-44AD-B41E-F453D07119E8}"/>
    <cellStyle name="Normal 6 14" xfId="1007" xr:uid="{14FF1A0A-24DF-4F44-97CE-EC64DF9BEF78}"/>
    <cellStyle name="Normal 6 15" xfId="1008" xr:uid="{A623E151-BC5A-4714-9B27-9663AAD32447}"/>
    <cellStyle name="Normal 6 16" xfId="1009" xr:uid="{D272C236-6E28-418A-8E11-A90C63875C13}"/>
    <cellStyle name="Normal 6 17" xfId="1010" xr:uid="{74E4FCC1-264A-4B2B-8314-A9C72DC4F115}"/>
    <cellStyle name="Normal 6 18" xfId="1011" xr:uid="{1ECFDC5C-A273-4B95-9797-7EE6DE473529}"/>
    <cellStyle name="Normal 6 2" xfId="1012" xr:uid="{5C5DBB7A-74AE-40C1-9F88-340F73F095E5}"/>
    <cellStyle name="Normal 6 3" xfId="1013" xr:uid="{1553A3E4-6B04-4601-A8B4-E327DFA2B9F5}"/>
    <cellStyle name="Normal 6 4" xfId="1014" xr:uid="{49915B61-90EA-4E61-A89A-E96F8F17B591}"/>
    <cellStyle name="Normal 6 5" xfId="1015" xr:uid="{FD5D5089-9ACE-4251-8ECF-737BEE721B73}"/>
    <cellStyle name="Normal 6 6" xfId="1016" xr:uid="{43C97658-B7D7-4250-B687-35635E0557D7}"/>
    <cellStyle name="Normal 6 7" xfId="1017" xr:uid="{343A9094-A714-4127-B651-8A7C9346B8F4}"/>
    <cellStyle name="Normal 6 8" xfId="1018" xr:uid="{486D13CF-68E0-40CA-AD71-3000D9623CCC}"/>
    <cellStyle name="Normal 6 9" xfId="1019" xr:uid="{41D7B358-0528-45A5-AECE-6EDB86F0BF39}"/>
    <cellStyle name="Normal 7" xfId="1020" xr:uid="{82654234-8981-40BA-BFA7-2D887B1F3023}"/>
    <cellStyle name="Normal 7 10" xfId="1021" xr:uid="{D27BCBF4-8B07-458C-9CEA-0A6BD0F555BF}"/>
    <cellStyle name="Normal 7 11" xfId="1022" xr:uid="{3F896C84-FF9D-485E-9B0F-7C6E8BEC1FB0}"/>
    <cellStyle name="Normal 7 12" xfId="1023" xr:uid="{23DC0D7E-207B-4E4F-B903-12886F17A105}"/>
    <cellStyle name="Normal 7 13" xfId="1024" xr:uid="{2705145F-6D93-41CD-9722-1FE931E5EF97}"/>
    <cellStyle name="Normal 7 14" xfId="1025" xr:uid="{F8F75A32-5D0A-47AA-B23B-ED76076C46C9}"/>
    <cellStyle name="Normal 7 15" xfId="1026" xr:uid="{94ADE994-26C0-4B2B-AEC8-09E1F725325F}"/>
    <cellStyle name="Normal 7 16" xfId="1027" xr:uid="{9DF82B9E-06CA-4056-BBF3-98F902422199}"/>
    <cellStyle name="Normal 7 17" xfId="1028" xr:uid="{2BD57EC0-B3CC-4231-8412-9DA40F55DABB}"/>
    <cellStyle name="Normal 7 2" xfId="1029" xr:uid="{35E2EFCA-A2C5-46EE-A712-7F6CAF42768E}"/>
    <cellStyle name="Normal 7 3" xfId="1030" xr:uid="{19BB06B7-4F93-4C23-B308-01A814DDCF28}"/>
    <cellStyle name="Normal 7 4" xfId="1031" xr:uid="{455F0F21-CD0B-4341-86F2-400A3E6ABD54}"/>
    <cellStyle name="Normal 7 5" xfId="1032" xr:uid="{A31D00AE-E2ED-4D82-8E2D-7A3654ACFF0F}"/>
    <cellStyle name="Normal 7 6" xfId="1033" xr:uid="{1206AD44-FA10-40CC-844C-B453EAA22DBD}"/>
    <cellStyle name="Normal 7 7" xfId="1034" xr:uid="{A55A81EE-0A13-48A6-82A7-91978E72C08B}"/>
    <cellStyle name="Normal 7 8" xfId="1035" xr:uid="{C93BD198-050E-485F-8D98-D7BFC40A5D2A}"/>
    <cellStyle name="Normal 7 9" xfId="1036" xr:uid="{751EC190-7707-4771-B7A8-439B3AD4E619}"/>
    <cellStyle name="Normal 8" xfId="1037" xr:uid="{545504A0-4A74-4242-8573-7B5386450B21}"/>
    <cellStyle name="Normal 8 10" xfId="1038" xr:uid="{0033A4A6-3544-495F-B2C7-ADBA8D69949C}"/>
    <cellStyle name="Normal 8 11" xfId="1039" xr:uid="{F2E8DAB9-897D-4964-8895-7796C3177F22}"/>
    <cellStyle name="Normal 8 12" xfId="1040" xr:uid="{D678BF60-E772-4BF7-BEE8-4F405AF2100E}"/>
    <cellStyle name="Normal 8 13" xfId="1041" xr:uid="{93D55326-AC58-47E4-8728-9A605BFF0E80}"/>
    <cellStyle name="Normal 8 14" xfId="1042" xr:uid="{B11CF340-B498-4916-ADC7-43AD7BCD3216}"/>
    <cellStyle name="Normal 8 15" xfId="1043" xr:uid="{7733B752-2AF7-48A7-97E7-135C127620C7}"/>
    <cellStyle name="Normal 8 16" xfId="1044" xr:uid="{C1A02B90-4028-4DAD-9244-857387B207FA}"/>
    <cellStyle name="Normal 8 17" xfId="1045" xr:uid="{C9E6A483-9518-45A6-AF75-2A7AF74D9EAD}"/>
    <cellStyle name="Normal 8 2" xfId="1046" xr:uid="{7CDF939D-1118-4A86-BE5C-0D16F879099E}"/>
    <cellStyle name="Normal 8 3" xfId="1047" xr:uid="{767CA3A1-3F10-487C-BB3D-BD5BBDF59F80}"/>
    <cellStyle name="Normal 8 4" xfId="1048" xr:uid="{9832EB93-D2B2-4224-89F6-C4AC7A6E859E}"/>
    <cellStyle name="Normal 8 5" xfId="1049" xr:uid="{34305360-7BF9-4253-81F7-A24188DB8DEC}"/>
    <cellStyle name="Normal 8 6" xfId="1050" xr:uid="{46FD6B57-75D4-4E7B-9B2D-8FD0C4DDBEAC}"/>
    <cellStyle name="Normal 8 7" xfId="1051" xr:uid="{7AC25194-88A2-46B9-AF3A-CF382B608C85}"/>
    <cellStyle name="Normal 8 8" xfId="1052" xr:uid="{8199CEAB-75E6-41A3-8339-AB4A3D1DBF32}"/>
    <cellStyle name="Normal 8 9" xfId="1053" xr:uid="{051C4E45-43F4-4130-809E-D8AE7B493561}"/>
    <cellStyle name="Normal 9" xfId="1054" xr:uid="{0005E103-22DD-445F-B947-F76B77EA97C5}"/>
    <cellStyle name="Normal 9 10" xfId="1055" xr:uid="{238FD96E-ABD0-4970-AB33-A37829DDCF6B}"/>
    <cellStyle name="Normal 9 11" xfId="1056" xr:uid="{0DD42E34-AA0E-4B58-A98B-FD1A49670B4C}"/>
    <cellStyle name="Normal 9 12" xfId="1057" xr:uid="{24F969FB-14ED-423A-8C90-E3A7D7E08281}"/>
    <cellStyle name="Normal 9 13" xfId="1058" xr:uid="{794C8172-E5B8-42B0-8B8C-9BE7238B3BB8}"/>
    <cellStyle name="Normal 9 14" xfId="1059" xr:uid="{BC2B380A-7D9C-4638-9F5D-0C8BC91C10EC}"/>
    <cellStyle name="Normal 9 15" xfId="1060" xr:uid="{248A0635-4692-4F51-9CA0-098829CE4D82}"/>
    <cellStyle name="Normal 9 16" xfId="1061" xr:uid="{89CDE4A5-EDE2-4832-86F4-377C068CEF38}"/>
    <cellStyle name="Normal 9 17" xfId="1062" xr:uid="{DF252E38-63A0-44F1-8293-061278D12AA0}"/>
    <cellStyle name="Normal 9 2" xfId="1063" xr:uid="{B5BD6B9D-A013-4EA0-8BE3-65661D83A220}"/>
    <cellStyle name="Normal 9 3" xfId="1064" xr:uid="{2E1AA7E4-83A3-4F77-8573-279C70C0CA15}"/>
    <cellStyle name="Normal 9 4" xfId="1065" xr:uid="{BC21B3D8-01EB-4CAB-980E-010733B1402B}"/>
    <cellStyle name="Normal 9 5" xfId="1066" xr:uid="{A4AB1D50-2C05-43A4-85D5-95040E5BA84E}"/>
    <cellStyle name="Normal 9 6" xfId="1067" xr:uid="{B47297EB-0C18-46B9-A42F-8D4D91BB40B2}"/>
    <cellStyle name="Normal 9 7" xfId="1068" xr:uid="{A747FB31-1DE2-414F-964C-7EA69623DEA8}"/>
    <cellStyle name="Normal 9 8" xfId="1069" xr:uid="{DD554C6E-131A-4B58-A483-A02777DB2DB9}"/>
    <cellStyle name="Normal 9 9" xfId="1070" xr:uid="{F366B558-B263-48B5-8DD2-1EC86BE2E154}"/>
    <cellStyle name="Note 2" xfId="1071" xr:uid="{4AE0B531-6A95-4615-9129-43421463D0A7}"/>
    <cellStyle name="Note 2 2" xfId="1072" xr:uid="{EA094CE9-D790-4B0F-9EB0-91BDF39CFA92}"/>
    <cellStyle name="Note 2 3" xfId="1073" xr:uid="{22182A8B-639E-4615-A1EF-DC98434D41E2}"/>
    <cellStyle name="Note 2 4" xfId="1074" xr:uid="{1899FD78-5712-40A1-AD39-E8A09180018F}"/>
    <cellStyle name="Note 2 5" xfId="1075" xr:uid="{179F4AD6-2E51-45B0-9EF6-7FEB38721D68}"/>
    <cellStyle name="Note 2 6" xfId="1076" xr:uid="{BF59F2A8-EE4D-47D0-9E32-EDE43032B86D}"/>
    <cellStyle name="Note 2 7" xfId="1077" xr:uid="{EE957F9A-89A0-4F62-9A5B-2916C18CC391}"/>
    <cellStyle name="Note 2 8" xfId="1078" xr:uid="{9DAE6A00-330B-43B6-9953-30C0AED71622}"/>
    <cellStyle name="Note 3" xfId="1079" xr:uid="{2872351B-30F5-48C3-93AC-371B23C002B2}"/>
    <cellStyle name="Note 4" xfId="1080" xr:uid="{C53F9E27-D1EE-4FC7-9F4C-BA5FF8BFB82B}"/>
    <cellStyle name="Note 5" xfId="1081" xr:uid="{A9C69146-1FC0-4410-86E8-901151490BC9}"/>
    <cellStyle name="Output" xfId="11" builtinId="21" customBuiltin="1"/>
    <cellStyle name="Output 2 2" xfId="1082" xr:uid="{9081F1B2-9A60-440B-AF0A-43F5458A466D}"/>
    <cellStyle name="Output 2 3" xfId="1083" xr:uid="{A028D570-2A8E-414A-976E-AE10B790736C}"/>
    <cellStyle name="Output 2 4" xfId="1084" xr:uid="{DBBC0ED5-7434-47A1-B721-0085AB2B1C3C}"/>
    <cellStyle name="Output 2 5" xfId="1085" xr:uid="{D2A06797-23EA-467E-8AF0-AEE25892C60A}"/>
    <cellStyle name="Output 2 6" xfId="1086" xr:uid="{BE09EC02-3996-460F-85D7-A097628763FF}"/>
    <cellStyle name="Output 2 7" xfId="1087" xr:uid="{FF346677-210A-415E-B230-FF7093F85EC6}"/>
    <cellStyle name="Output 2 8" xfId="1088" xr:uid="{D5472555-0962-45DF-9163-495B0520FC63}"/>
    <cellStyle name="Percent 2" xfId="1090" xr:uid="{8F8524BD-5F29-43EC-9DAB-731A0BB841FE}"/>
    <cellStyle name="Percent 2 2" xfId="1091" xr:uid="{A30F11D3-77E9-49A3-9E8C-ACD5B3AC4AF5}"/>
    <cellStyle name="Percent 2 3" xfId="1092" xr:uid="{F829C9BF-5041-48DA-8A19-7035997CE9BE}"/>
    <cellStyle name="Percent 3" xfId="1089" xr:uid="{8C7E6DA6-FCAA-4508-AE3C-C98AEACADBF4}"/>
    <cellStyle name="Percent 3 2" xfId="1093" xr:uid="{ACE779B5-F632-4857-9FFC-5A03C99BAD3B}"/>
    <cellStyle name="Percent 7" xfId="1094" xr:uid="{60B1D000-BDAC-412E-B4F4-01581C8DBCEB}"/>
    <cellStyle name="Percent 7 2" xfId="1095" xr:uid="{A6DDE099-ED53-479B-86BD-824775CE9630}"/>
    <cellStyle name="Percent 8" xfId="1096" xr:uid="{32258086-2E38-49E3-B92A-FAD53BDA7FE4}"/>
    <cellStyle name="Percent 9" xfId="1097" xr:uid="{16E97920-F5F7-44FF-A403-4E2E06EB7D9A}"/>
    <cellStyle name="Percent 9 2" xfId="1098" xr:uid="{22E0BCC0-80DD-40EB-8070-50D20C2F9281}"/>
    <cellStyle name="Title 2" xfId="1099" xr:uid="{722F9562-1F09-4381-97A5-D51AA1F6A21C}"/>
    <cellStyle name="Title 2 2" xfId="1100" xr:uid="{C44E34F5-8A0C-484C-9F1F-CD9BEB055E88}"/>
    <cellStyle name="Title 2 3" xfId="1101" xr:uid="{1A6B7A3D-C415-4702-9D31-A0E8B21F1DD8}"/>
    <cellStyle name="Title 2 4" xfId="1102" xr:uid="{C9829C90-C8AA-4E37-AA7F-73580840D956}"/>
    <cellStyle name="Title 2 5" xfId="1103" xr:uid="{61D3A591-B8DB-4A40-AE68-E1380013448E}"/>
    <cellStyle name="Title 2 6" xfId="1104" xr:uid="{75BA60D6-4555-4594-A526-18ECB01456CA}"/>
    <cellStyle name="Title 2 7" xfId="1105" xr:uid="{7706D98A-16AF-4D5C-9F30-5E31F7F1FDE0}"/>
    <cellStyle name="Title 2 8" xfId="1106" xr:uid="{4BA11649-829B-4D1A-AD3D-4DE20E55E1D0}"/>
    <cellStyle name="Total" xfId="17" builtinId="25" customBuiltin="1"/>
    <cellStyle name="Total 2 2" xfId="1107" xr:uid="{6A31E8EC-E32A-4D33-97B2-D71B9F648775}"/>
    <cellStyle name="Total 2 3" xfId="1108" xr:uid="{6211DCAA-85FB-4A0E-8960-33E2C769C831}"/>
    <cellStyle name="Total 2 4" xfId="1109" xr:uid="{0B67AA5F-4019-44A3-9D9B-1B3C7E15EDF7}"/>
    <cellStyle name="Total 2 5" xfId="1110" xr:uid="{12BE10CE-04DD-4F65-A2B0-A8E00489746A}"/>
    <cellStyle name="Total 2 6" xfId="1111" xr:uid="{260D3E5C-6A38-44EA-9287-3D662EAC6249}"/>
    <cellStyle name="Total 2 7" xfId="1112" xr:uid="{EF8F8A9A-407C-4E0A-8333-99F68D8BE95D}"/>
    <cellStyle name="Total 2 8" xfId="1113" xr:uid="{5EC6A217-4ACA-4047-A329-359FC2924656}"/>
    <cellStyle name="Warning Text" xfId="15" builtinId="11" customBuiltin="1"/>
    <cellStyle name="Warning Text 2 2" xfId="1114" xr:uid="{9A6443DD-2807-4A63-9A8A-654A2665E51A}"/>
    <cellStyle name="Warning Text 2 3" xfId="1115" xr:uid="{1EE8937D-D454-4FCF-8D20-5EEDEB8D7DB6}"/>
    <cellStyle name="Warning Text 2 4" xfId="1116" xr:uid="{435639EB-ED14-453A-81C5-F017E666170B}"/>
    <cellStyle name="Warning Text 2 5" xfId="1117" xr:uid="{2E101CA0-8BAE-45D5-8F33-C0C9A45CAF10}"/>
    <cellStyle name="Warning Text 2 6" xfId="1118" xr:uid="{3151F484-E862-4E86-931A-22AEDCAEFCAC}"/>
    <cellStyle name="Warning Text 2 7" xfId="1119" xr:uid="{CCB20A73-F682-4656-9100-96F59BCDD64F}"/>
    <cellStyle name="Warning Text 2 8" xfId="1120" xr:uid="{22E38CA0-42BD-42C5-B312-4BE217452B15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320040</xdr:colOff>
      <xdr:row>39</xdr:row>
      <xdr:rowOff>152400</xdr:rowOff>
    </xdr:from>
    <xdr:to>
      <xdr:col>5</xdr:col>
      <xdr:colOff>998220</xdr:colOff>
      <xdr:row>41</xdr:row>
      <xdr:rowOff>28209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65C5E87-AB40-4EE5-8442-C7E987E1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736080"/>
          <a:ext cx="678180" cy="211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304800</xdr:colOff>
      <xdr:row>41</xdr:row>
      <xdr:rowOff>30480</xdr:rowOff>
    </xdr:from>
    <xdr:to>
      <xdr:col>5</xdr:col>
      <xdr:colOff>952500</xdr:colOff>
      <xdr:row>42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E95D6-368D-4E3B-9C0E-1BDDE7A41D6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60" y="6949440"/>
          <a:ext cx="64770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403860</xdr:colOff>
      <xdr:row>38</xdr:row>
      <xdr:rowOff>137338</xdr:rowOff>
    </xdr:from>
    <xdr:to>
      <xdr:col>5</xdr:col>
      <xdr:colOff>883920</xdr:colOff>
      <xdr:row>40</xdr:row>
      <xdr:rowOff>24491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C1F6A-9FEB-4B6E-B901-8B985229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0" y="6553378"/>
          <a:ext cx="480060" cy="2224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1"/>
  <sheetViews>
    <sheetView topLeftCell="A55" workbookViewId="0">
      <selection activeCell="B76" sqref="B76"/>
    </sheetView>
  </sheetViews>
  <sheetFormatPr defaultRowHeight="12.75"/>
  <cols>
    <col min="1" max="1" width="21.42578125" bestFit="1" customWidth="1"/>
    <col min="2" max="2" width="20.140625" bestFit="1" customWidth="1"/>
    <col min="3" max="3" width="22.140625" bestFit="1" customWidth="1"/>
    <col min="4" max="5" width="22.28515625" bestFit="1" customWidth="1"/>
    <col min="6" max="6" width="2.28515625" bestFit="1" customWidth="1"/>
    <col min="7" max="7" width="19.28515625" bestFit="1" customWidth="1"/>
  </cols>
  <sheetData>
    <row r="1" spans="1:7">
      <c r="A1" s="103" t="s">
        <v>1003</v>
      </c>
      <c r="B1" s="103" t="s">
        <v>1004</v>
      </c>
      <c r="C1" s="103" t="s">
        <v>1005</v>
      </c>
      <c r="D1" s="103" t="s">
        <v>1006</v>
      </c>
      <c r="E1" s="103" t="s">
        <v>1007</v>
      </c>
    </row>
    <row r="3" spans="1:7">
      <c r="A3" s="103" t="s">
        <v>0</v>
      </c>
      <c r="B3" s="103" t="s">
        <v>1008</v>
      </c>
      <c r="C3" s="103" t="s">
        <v>1009</v>
      </c>
      <c r="D3" s="103" t="s">
        <v>1010</v>
      </c>
      <c r="E3" s="103"/>
      <c r="F3" s="103"/>
      <c r="G3" s="103"/>
    </row>
    <row r="5" spans="1:7">
      <c r="A5" s="103" t="s">
        <v>1011</v>
      </c>
      <c r="B5" s="103"/>
      <c r="C5" s="103" t="s">
        <v>1</v>
      </c>
      <c r="D5" s="103" t="s">
        <v>2</v>
      </c>
      <c r="E5" s="103" t="s">
        <v>3</v>
      </c>
      <c r="F5" s="103"/>
      <c r="G5" s="103" t="s">
        <v>1012</v>
      </c>
    </row>
    <row r="6" spans="1:7">
      <c r="A6" s="103"/>
      <c r="B6" s="103"/>
      <c r="C6" s="103"/>
      <c r="D6" s="103"/>
      <c r="E6" s="103"/>
      <c r="F6" s="103"/>
    </row>
    <row r="7" spans="1:7">
      <c r="A7" s="103" t="s">
        <v>1013</v>
      </c>
      <c r="B7" s="103" t="s">
        <v>4</v>
      </c>
      <c r="C7" s="103" t="s">
        <v>1014</v>
      </c>
      <c r="D7" s="103" t="s">
        <v>5</v>
      </c>
      <c r="E7" s="103" t="s">
        <v>1015</v>
      </c>
      <c r="G7" s="103"/>
    </row>
    <row r="8" spans="1:7">
      <c r="A8" s="103" t="s">
        <v>1016</v>
      </c>
      <c r="B8" s="103" t="s">
        <v>6</v>
      </c>
      <c r="C8" s="103" t="s">
        <v>1017</v>
      </c>
      <c r="D8" s="103" t="s">
        <v>7</v>
      </c>
      <c r="E8" s="103" t="s">
        <v>993</v>
      </c>
      <c r="F8" s="103" t="s">
        <v>994</v>
      </c>
      <c r="G8" s="103"/>
    </row>
    <row r="9" spans="1:7">
      <c r="A9" s="103" t="s">
        <v>995</v>
      </c>
      <c r="B9" s="103" t="s">
        <v>8</v>
      </c>
      <c r="C9" s="103" t="s">
        <v>9</v>
      </c>
      <c r="D9" s="103" t="s">
        <v>1018</v>
      </c>
      <c r="E9" s="103" t="s">
        <v>10</v>
      </c>
      <c r="G9" s="103" t="s">
        <v>1019</v>
      </c>
    </row>
    <row r="10" spans="1:7">
      <c r="A10" s="103" t="s">
        <v>1020</v>
      </c>
      <c r="B10" s="103"/>
      <c r="C10" s="103"/>
      <c r="D10" s="103" t="s">
        <v>11</v>
      </c>
      <c r="E10" s="103" t="s">
        <v>10</v>
      </c>
      <c r="F10" s="103" t="s">
        <v>1021</v>
      </c>
      <c r="G10" s="103" t="s">
        <v>1022</v>
      </c>
    </row>
    <row r="11" spans="1:7">
      <c r="A11" s="103" t="s">
        <v>12</v>
      </c>
      <c r="B11" s="103" t="s">
        <v>13</v>
      </c>
      <c r="C11" s="103" t="s">
        <v>14</v>
      </c>
      <c r="D11" s="103" t="s">
        <v>15</v>
      </c>
      <c r="E11" s="103" t="s">
        <v>16</v>
      </c>
      <c r="F11" s="103"/>
      <c r="G11" s="103" t="s">
        <v>17</v>
      </c>
    </row>
    <row r="12" spans="1:7">
      <c r="A12" s="103" t="s">
        <v>18</v>
      </c>
      <c r="B12" s="103" t="s">
        <v>996</v>
      </c>
      <c r="C12" s="103" t="s">
        <v>19</v>
      </c>
      <c r="D12" s="103" t="s">
        <v>1023</v>
      </c>
      <c r="E12" s="103" t="s">
        <v>1024</v>
      </c>
      <c r="F12" s="103"/>
      <c r="G12" s="103" t="s">
        <v>1025</v>
      </c>
    </row>
    <row r="13" spans="1:7">
      <c r="A13" s="103" t="s">
        <v>21</v>
      </c>
      <c r="B13" s="103" t="s">
        <v>1026</v>
      </c>
      <c r="C13" s="103" t="s">
        <v>22</v>
      </c>
      <c r="D13" s="103" t="s">
        <v>1027</v>
      </c>
      <c r="E13" s="103" t="s">
        <v>1028</v>
      </c>
      <c r="F13" s="103"/>
      <c r="G13" s="103" t="s">
        <v>1029</v>
      </c>
    </row>
    <row r="14" spans="1:7">
      <c r="A14" s="103" t="s">
        <v>24</v>
      </c>
      <c r="B14" s="103" t="s">
        <v>1030</v>
      </c>
      <c r="C14" s="103" t="s">
        <v>25</v>
      </c>
      <c r="D14" s="103" t="s">
        <v>1031</v>
      </c>
      <c r="E14" s="103" t="s">
        <v>1032</v>
      </c>
      <c r="F14" s="103"/>
      <c r="G14" s="103" t="s">
        <v>1033</v>
      </c>
    </row>
    <row r="15" spans="1:7">
      <c r="A15" s="103" t="s">
        <v>26</v>
      </c>
      <c r="B15" s="103" t="s">
        <v>1034</v>
      </c>
      <c r="C15" s="103" t="s">
        <v>27</v>
      </c>
      <c r="D15" s="103" t="s">
        <v>1035</v>
      </c>
      <c r="E15" s="103" t="s">
        <v>1036</v>
      </c>
      <c r="G15" s="103" t="s">
        <v>1037</v>
      </c>
    </row>
    <row r="16" spans="1:7">
      <c r="A16" s="103" t="s">
        <v>28</v>
      </c>
      <c r="B16" s="103" t="s">
        <v>1038</v>
      </c>
      <c r="C16" s="103" t="s">
        <v>29</v>
      </c>
      <c r="D16" s="103" t="s">
        <v>1039</v>
      </c>
      <c r="E16" s="103" t="s">
        <v>1040</v>
      </c>
      <c r="G16" s="103" t="s">
        <v>1041</v>
      </c>
    </row>
    <row r="17" spans="1:7">
      <c r="A17" s="103" t="s">
        <v>30</v>
      </c>
      <c r="B17" s="103" t="s">
        <v>1042</v>
      </c>
      <c r="C17" s="103" t="s">
        <v>31</v>
      </c>
      <c r="D17" s="103" t="s">
        <v>1043</v>
      </c>
      <c r="E17" s="103" t="s">
        <v>1044</v>
      </c>
      <c r="G17" s="103" t="s">
        <v>1045</v>
      </c>
    </row>
    <row r="18" spans="1:7">
      <c r="A18" s="103" t="s">
        <v>32</v>
      </c>
      <c r="B18" s="103" t="s">
        <v>1046</v>
      </c>
      <c r="C18" s="103" t="s">
        <v>33</v>
      </c>
      <c r="D18" s="103" t="s">
        <v>1047</v>
      </c>
      <c r="E18" s="103" t="s">
        <v>34</v>
      </c>
      <c r="G18" s="103" t="s">
        <v>23</v>
      </c>
    </row>
    <row r="19" spans="1:7">
      <c r="A19" s="103" t="s">
        <v>35</v>
      </c>
      <c r="B19" s="103" t="s">
        <v>1048</v>
      </c>
      <c r="C19" s="103" t="s">
        <v>36</v>
      </c>
      <c r="D19" s="103" t="s">
        <v>1049</v>
      </c>
      <c r="E19" s="103" t="s">
        <v>37</v>
      </c>
      <c r="F19" s="103"/>
      <c r="G19" s="103" t="s">
        <v>23</v>
      </c>
    </row>
    <row r="20" spans="1:7">
      <c r="A20" s="103" t="s">
        <v>38</v>
      </c>
      <c r="B20" s="103" t="s">
        <v>39</v>
      </c>
      <c r="C20" s="103" t="s">
        <v>40</v>
      </c>
      <c r="D20" s="103" t="s">
        <v>1050</v>
      </c>
      <c r="E20" s="103" t="s">
        <v>41</v>
      </c>
      <c r="F20" s="103"/>
      <c r="G20" s="103" t="s">
        <v>23</v>
      </c>
    </row>
    <row r="21" spans="1:7">
      <c r="A21" s="103" t="s">
        <v>975</v>
      </c>
      <c r="B21" s="103" t="s">
        <v>1051</v>
      </c>
      <c r="C21" s="103" t="s">
        <v>976</v>
      </c>
      <c r="D21" s="103" t="s">
        <v>977</v>
      </c>
      <c r="E21" s="103" t="s">
        <v>978</v>
      </c>
      <c r="F21" s="103" t="s">
        <v>979</v>
      </c>
      <c r="G21" s="103" t="s">
        <v>980</v>
      </c>
    </row>
    <row r="22" spans="1:7">
      <c r="A22" s="103" t="s">
        <v>981</v>
      </c>
      <c r="B22" s="103" t="s">
        <v>1052</v>
      </c>
      <c r="C22" s="103" t="s">
        <v>982</v>
      </c>
      <c r="D22" s="103" t="s">
        <v>1053</v>
      </c>
      <c r="E22" s="103"/>
      <c r="F22" s="103"/>
      <c r="G22" s="103"/>
    </row>
    <row r="23" spans="1:7">
      <c r="A23" s="103" t="s">
        <v>12</v>
      </c>
      <c r="B23" s="103" t="s">
        <v>13</v>
      </c>
      <c r="C23" s="103" t="s">
        <v>43</v>
      </c>
      <c r="D23" s="103" t="s">
        <v>44</v>
      </c>
      <c r="E23" s="103" t="s">
        <v>45</v>
      </c>
      <c r="F23" s="103" t="s">
        <v>46</v>
      </c>
      <c r="G23" s="103" t="s">
        <v>13</v>
      </c>
    </row>
    <row r="24" spans="1:7">
      <c r="A24" s="103" t="s">
        <v>47</v>
      </c>
      <c r="B24" s="103" t="s">
        <v>1054</v>
      </c>
      <c r="C24" s="103" t="s">
        <v>48</v>
      </c>
      <c r="D24" s="103" t="s">
        <v>1055</v>
      </c>
      <c r="E24" s="103" t="s">
        <v>985</v>
      </c>
      <c r="F24" s="103" t="s">
        <v>42</v>
      </c>
      <c r="G24" s="103" t="s">
        <v>1056</v>
      </c>
    </row>
    <row r="25" spans="1:7">
      <c r="A25" s="103" t="s">
        <v>49</v>
      </c>
      <c r="B25" s="103" t="s">
        <v>1057</v>
      </c>
      <c r="C25" s="103" t="s">
        <v>50</v>
      </c>
      <c r="D25" s="103" t="s">
        <v>1058</v>
      </c>
      <c r="E25" s="103" t="s">
        <v>986</v>
      </c>
      <c r="F25" s="103" t="s">
        <v>42</v>
      </c>
      <c r="G25" s="103" t="s">
        <v>1059</v>
      </c>
    </row>
    <row r="26" spans="1:7">
      <c r="A26" s="103" t="s">
        <v>51</v>
      </c>
      <c r="B26" s="103" t="s">
        <v>1060</v>
      </c>
      <c r="C26" s="103" t="s">
        <v>52</v>
      </c>
      <c r="D26" s="103" t="s">
        <v>1061</v>
      </c>
      <c r="E26" s="103" t="s">
        <v>53</v>
      </c>
      <c r="F26" s="103" t="s">
        <v>42</v>
      </c>
      <c r="G26" s="103" t="s">
        <v>1062</v>
      </c>
    </row>
    <row r="27" spans="1:7">
      <c r="A27" s="103"/>
      <c r="B27" s="103"/>
      <c r="C27" s="103" t="s">
        <v>983</v>
      </c>
      <c r="D27" s="103" t="s">
        <v>1063</v>
      </c>
      <c r="E27" s="103"/>
      <c r="F27" s="103"/>
      <c r="G27" s="103"/>
    </row>
    <row r="28" spans="1:7">
      <c r="A28" s="103" t="s">
        <v>54</v>
      </c>
      <c r="B28" s="103" t="s">
        <v>1064</v>
      </c>
      <c r="C28" s="103" t="s">
        <v>55</v>
      </c>
      <c r="D28" s="103" t="s">
        <v>1065</v>
      </c>
      <c r="E28" s="103" t="s">
        <v>56</v>
      </c>
      <c r="F28" s="103" t="s">
        <v>42</v>
      </c>
      <c r="G28" s="103" t="s">
        <v>1066</v>
      </c>
    </row>
    <row r="29" spans="1:7">
      <c r="A29" s="103" t="s">
        <v>57</v>
      </c>
      <c r="B29" s="103" t="s">
        <v>1067</v>
      </c>
      <c r="C29" s="103" t="s">
        <v>58</v>
      </c>
      <c r="D29" s="103" t="s">
        <v>85</v>
      </c>
      <c r="E29" s="103" t="s">
        <v>59</v>
      </c>
      <c r="F29" s="103" t="s">
        <v>42</v>
      </c>
      <c r="G29" s="103" t="s">
        <v>1068</v>
      </c>
    </row>
    <row r="30" spans="1:7">
      <c r="A30" s="103" t="s">
        <v>60</v>
      </c>
      <c r="B30" s="103" t="s">
        <v>1069</v>
      </c>
      <c r="C30" s="103" t="s">
        <v>61</v>
      </c>
      <c r="D30" s="103" t="s">
        <v>62</v>
      </c>
      <c r="E30" s="103"/>
      <c r="F30" s="103"/>
      <c r="G30" s="103"/>
    </row>
    <row r="31" spans="1:7">
      <c r="A31" s="103" t="s">
        <v>63</v>
      </c>
      <c r="B31" s="103" t="s">
        <v>1070</v>
      </c>
      <c r="C31" s="103" t="s">
        <v>64</v>
      </c>
      <c r="D31" s="103" t="s">
        <v>1071</v>
      </c>
      <c r="E31" s="103" t="s">
        <v>65</v>
      </c>
      <c r="F31" s="103" t="s">
        <v>42</v>
      </c>
      <c r="G31" s="103" t="s">
        <v>1072</v>
      </c>
    </row>
    <row r="32" spans="1:7">
      <c r="A32" s="103" t="s">
        <v>66</v>
      </c>
      <c r="B32" s="103" t="s">
        <v>1073</v>
      </c>
      <c r="C32" s="103" t="s">
        <v>67</v>
      </c>
      <c r="D32" s="103" t="s">
        <v>1071</v>
      </c>
      <c r="E32" s="103"/>
      <c r="F32" s="103"/>
      <c r="G32" s="103"/>
    </row>
    <row r="33" spans="1:7">
      <c r="A33" s="103"/>
      <c r="B33" s="103"/>
      <c r="C33" s="103" t="s">
        <v>987</v>
      </c>
      <c r="D33" s="103" t="s">
        <v>1074</v>
      </c>
      <c r="E33" s="103"/>
      <c r="F33" s="103"/>
      <c r="G33" s="103"/>
    </row>
    <row r="34" spans="1:7">
      <c r="A34" s="103" t="s">
        <v>70</v>
      </c>
      <c r="B34" s="103" t="s">
        <v>1075</v>
      </c>
      <c r="C34" s="103" t="s">
        <v>71</v>
      </c>
      <c r="D34" s="103" t="s">
        <v>1076</v>
      </c>
      <c r="E34" s="103" t="s">
        <v>72</v>
      </c>
      <c r="F34" s="103" t="s">
        <v>42</v>
      </c>
      <c r="G34" s="103" t="s">
        <v>1077</v>
      </c>
    </row>
    <row r="35" spans="1:7">
      <c r="A35" s="103" t="s">
        <v>73</v>
      </c>
      <c r="B35" s="103" t="s">
        <v>1078</v>
      </c>
      <c r="C35" s="103"/>
      <c r="D35" s="103"/>
      <c r="E35" s="103" t="s">
        <v>74</v>
      </c>
      <c r="F35" s="103" t="s">
        <v>42</v>
      </c>
      <c r="G35" s="103" t="s">
        <v>75</v>
      </c>
    </row>
    <row r="36" spans="1:7">
      <c r="A36" s="103" t="s">
        <v>12</v>
      </c>
      <c r="B36" s="103" t="s">
        <v>13</v>
      </c>
      <c r="C36" s="103" t="s">
        <v>76</v>
      </c>
      <c r="D36" s="103" t="s">
        <v>44</v>
      </c>
      <c r="E36" s="103" t="s">
        <v>45</v>
      </c>
      <c r="F36" s="103" t="s">
        <v>46</v>
      </c>
      <c r="G36" s="103" t="s">
        <v>13</v>
      </c>
    </row>
    <row r="37" spans="1:7">
      <c r="A37" s="103" t="s">
        <v>47</v>
      </c>
      <c r="B37" s="103" t="s">
        <v>77</v>
      </c>
      <c r="C37" s="103" t="s">
        <v>48</v>
      </c>
      <c r="D37" s="103" t="s">
        <v>1055</v>
      </c>
      <c r="E37" s="103" t="s">
        <v>78</v>
      </c>
      <c r="F37" s="103" t="s">
        <v>42</v>
      </c>
      <c r="G37" s="103" t="s">
        <v>1079</v>
      </c>
    </row>
    <row r="38" spans="1:7">
      <c r="A38" s="103" t="s">
        <v>79</v>
      </c>
      <c r="B38" s="103" t="s">
        <v>1080</v>
      </c>
      <c r="C38" s="103" t="s">
        <v>50</v>
      </c>
      <c r="D38" s="103" t="s">
        <v>1081</v>
      </c>
      <c r="E38" s="103" t="s">
        <v>80</v>
      </c>
      <c r="F38" s="103" t="s">
        <v>42</v>
      </c>
      <c r="G38" s="103" t="s">
        <v>1082</v>
      </c>
    </row>
    <row r="39" spans="1:7">
      <c r="A39" s="103" t="s">
        <v>81</v>
      </c>
      <c r="B39" s="103" t="s">
        <v>1083</v>
      </c>
      <c r="C39" s="103" t="s">
        <v>52</v>
      </c>
      <c r="D39" s="103" t="s">
        <v>1084</v>
      </c>
      <c r="E39" s="103" t="s">
        <v>82</v>
      </c>
      <c r="F39" s="103" t="s">
        <v>42</v>
      </c>
      <c r="G39" s="103" t="s">
        <v>1085</v>
      </c>
    </row>
    <row r="40" spans="1:7">
      <c r="A40" s="103" t="s">
        <v>54</v>
      </c>
      <c r="B40" s="103" t="s">
        <v>1086</v>
      </c>
      <c r="C40" s="103" t="s">
        <v>55</v>
      </c>
      <c r="D40" s="103" t="s">
        <v>1087</v>
      </c>
      <c r="E40" s="103" t="s">
        <v>83</v>
      </c>
      <c r="F40" s="103" t="s">
        <v>42</v>
      </c>
      <c r="G40" s="103" t="s">
        <v>1088</v>
      </c>
    </row>
    <row r="41" spans="1:7">
      <c r="A41" s="103" t="s">
        <v>57</v>
      </c>
      <c r="B41" s="103" t="s">
        <v>1089</v>
      </c>
      <c r="C41" s="103" t="s">
        <v>84</v>
      </c>
      <c r="D41" s="103" t="s">
        <v>85</v>
      </c>
      <c r="E41" s="103" t="s">
        <v>56</v>
      </c>
      <c r="F41" s="103" t="s">
        <v>42</v>
      </c>
      <c r="G41" s="103" t="s">
        <v>1090</v>
      </c>
    </row>
    <row r="42" spans="1:7">
      <c r="A42" s="103" t="s">
        <v>63</v>
      </c>
      <c r="B42" s="103" t="s">
        <v>1091</v>
      </c>
      <c r="C42" s="103" t="s">
        <v>69</v>
      </c>
      <c r="D42" s="103" t="s">
        <v>1092</v>
      </c>
      <c r="E42" s="103" t="s">
        <v>86</v>
      </c>
      <c r="F42" s="103" t="s">
        <v>42</v>
      </c>
      <c r="G42" s="103" t="s">
        <v>1093</v>
      </c>
    </row>
    <row r="43" spans="1:7">
      <c r="A43" s="103" t="s">
        <v>87</v>
      </c>
      <c r="B43" s="103" t="s">
        <v>1094</v>
      </c>
      <c r="C43" s="103" t="s">
        <v>88</v>
      </c>
      <c r="D43" s="103" t="s">
        <v>1095</v>
      </c>
      <c r="E43" s="103" t="s">
        <v>89</v>
      </c>
      <c r="F43" s="103" t="s">
        <v>42</v>
      </c>
      <c r="G43" s="103" t="s">
        <v>1096</v>
      </c>
    </row>
    <row r="44" spans="1:7">
      <c r="A44" s="103" t="s">
        <v>51</v>
      </c>
      <c r="B44" s="103" t="s">
        <v>1097</v>
      </c>
      <c r="C44" s="103" t="s">
        <v>90</v>
      </c>
      <c r="D44" s="103" t="s">
        <v>1098</v>
      </c>
      <c r="E44" s="103" t="s">
        <v>65</v>
      </c>
      <c r="F44" s="103" t="s">
        <v>42</v>
      </c>
      <c r="G44" s="103" t="s">
        <v>1099</v>
      </c>
    </row>
    <row r="45" spans="1:7">
      <c r="A45" s="103" t="s">
        <v>68</v>
      </c>
      <c r="B45" s="103" t="s">
        <v>1100</v>
      </c>
      <c r="C45" s="103" t="s">
        <v>91</v>
      </c>
      <c r="D45" s="103" t="s">
        <v>20</v>
      </c>
      <c r="E45" s="103" t="s">
        <v>92</v>
      </c>
      <c r="F45" s="103" t="s">
        <v>42</v>
      </c>
      <c r="G45" s="103" t="s">
        <v>1101</v>
      </c>
    </row>
    <row r="46" spans="1:7">
      <c r="A46" s="103" t="s">
        <v>70</v>
      </c>
      <c r="B46" s="103" t="s">
        <v>1102</v>
      </c>
      <c r="C46" s="103" t="s">
        <v>71</v>
      </c>
      <c r="D46" s="103" t="s">
        <v>1103</v>
      </c>
      <c r="E46" s="103" t="s">
        <v>72</v>
      </c>
      <c r="F46" s="103" t="s">
        <v>42</v>
      </c>
      <c r="G46" s="103" t="s">
        <v>1104</v>
      </c>
    </row>
    <row r="47" spans="1:7">
      <c r="A47" s="103"/>
      <c r="B47" s="103"/>
      <c r="C47" s="103"/>
      <c r="D47" s="103"/>
      <c r="E47" s="103" t="s">
        <v>74</v>
      </c>
      <c r="F47" s="103" t="s">
        <v>42</v>
      </c>
      <c r="G47" s="103" t="s">
        <v>75</v>
      </c>
    </row>
    <row r="48" spans="1:7">
      <c r="A48" s="103" t="s">
        <v>12</v>
      </c>
      <c r="B48" s="103" t="s">
        <v>13</v>
      </c>
      <c r="C48" s="103" t="s">
        <v>93</v>
      </c>
      <c r="D48" s="103" t="s">
        <v>94</v>
      </c>
      <c r="E48" s="103" t="s">
        <v>45</v>
      </c>
      <c r="F48" s="103" t="s">
        <v>46</v>
      </c>
      <c r="G48" s="103" t="s">
        <v>13</v>
      </c>
    </row>
    <row r="49" spans="1:7">
      <c r="A49" s="103" t="s">
        <v>95</v>
      </c>
      <c r="B49" s="103" t="s">
        <v>1105</v>
      </c>
      <c r="C49" s="103" t="s">
        <v>96</v>
      </c>
      <c r="D49" s="103" t="s">
        <v>1106</v>
      </c>
      <c r="E49" s="103" t="s">
        <v>97</v>
      </c>
      <c r="F49" s="103" t="s">
        <v>42</v>
      </c>
      <c r="G49" s="103" t="s">
        <v>998</v>
      </c>
    </row>
    <row r="50" spans="1:7">
      <c r="A50" s="103" t="s">
        <v>98</v>
      </c>
      <c r="B50" s="103" t="s">
        <v>1107</v>
      </c>
      <c r="C50" s="103" t="s">
        <v>99</v>
      </c>
      <c r="D50" s="103" t="s">
        <v>997</v>
      </c>
      <c r="E50" s="103" t="s">
        <v>100</v>
      </c>
      <c r="F50" s="103" t="s">
        <v>42</v>
      </c>
      <c r="G50" s="103" t="s">
        <v>1108</v>
      </c>
    </row>
    <row r="51" spans="1:7">
      <c r="A51" s="103" t="s">
        <v>101</v>
      </c>
      <c r="B51" s="103" t="s">
        <v>1109</v>
      </c>
      <c r="C51" s="103" t="s">
        <v>102</v>
      </c>
      <c r="D51" s="103" t="s">
        <v>1110</v>
      </c>
      <c r="E51" s="103" t="s">
        <v>103</v>
      </c>
      <c r="F51" s="103" t="s">
        <v>42</v>
      </c>
      <c r="G51" s="103" t="s">
        <v>1111</v>
      </c>
    </row>
    <row r="52" spans="1:7">
      <c r="A52" s="103" t="s">
        <v>104</v>
      </c>
      <c r="B52" s="103" t="s">
        <v>85</v>
      </c>
      <c r="C52" s="103"/>
      <c r="D52" s="103"/>
      <c r="E52" s="103"/>
      <c r="F52" s="103"/>
      <c r="G52" s="103"/>
    </row>
    <row r="53" spans="1:7">
      <c r="A53" s="103" t="s">
        <v>105</v>
      </c>
      <c r="B53" s="103" t="s">
        <v>106</v>
      </c>
      <c r="C53" s="103" t="s">
        <v>12</v>
      </c>
      <c r="D53" s="103" t="s">
        <v>107</v>
      </c>
      <c r="E53" s="103" t="s">
        <v>108</v>
      </c>
      <c r="F53" s="103" t="s">
        <v>109</v>
      </c>
      <c r="G53" s="103" t="s">
        <v>12</v>
      </c>
    </row>
    <row r="54" spans="1:7">
      <c r="A54" s="103" t="s">
        <v>110</v>
      </c>
      <c r="B54" s="103" t="s">
        <v>999</v>
      </c>
      <c r="C54" s="103" t="s">
        <v>111</v>
      </c>
      <c r="D54" s="103" t="s">
        <v>112</v>
      </c>
      <c r="E54" s="103" t="s">
        <v>113</v>
      </c>
      <c r="F54" s="103" t="s">
        <v>42</v>
      </c>
      <c r="G54" s="103" t="s">
        <v>1112</v>
      </c>
    </row>
    <row r="55" spans="1:7">
      <c r="A55" s="103" t="s">
        <v>114</v>
      </c>
      <c r="B55" s="103" t="s">
        <v>1113</v>
      </c>
      <c r="C55" s="103" t="s">
        <v>115</v>
      </c>
      <c r="D55" s="103" t="s">
        <v>116</v>
      </c>
      <c r="E55" s="103" t="s">
        <v>117</v>
      </c>
      <c r="F55" s="103" t="s">
        <v>42</v>
      </c>
      <c r="G55" s="103" t="s">
        <v>118</v>
      </c>
    </row>
    <row r="56" spans="1:7">
      <c r="A56" s="103" t="s">
        <v>119</v>
      </c>
      <c r="B56" s="103" t="s">
        <v>1114</v>
      </c>
      <c r="C56" s="103" t="s">
        <v>120</v>
      </c>
      <c r="D56" s="103" t="s">
        <v>121</v>
      </c>
      <c r="E56" s="103" t="s">
        <v>122</v>
      </c>
      <c r="F56" s="103" t="s">
        <v>42</v>
      </c>
      <c r="G56" s="103" t="s">
        <v>123</v>
      </c>
    </row>
    <row r="57" spans="1:7">
      <c r="A57" s="103" t="s">
        <v>1115</v>
      </c>
      <c r="B57" s="103" t="s">
        <v>1116</v>
      </c>
      <c r="C57" s="103" t="s">
        <v>124</v>
      </c>
      <c r="D57" s="103" t="s">
        <v>125</v>
      </c>
      <c r="E57" s="103" t="s">
        <v>126</v>
      </c>
      <c r="F57" s="103" t="s">
        <v>42</v>
      </c>
      <c r="G57" s="103" t="s">
        <v>1117</v>
      </c>
    </row>
    <row r="58" spans="1:7">
      <c r="A58" s="103" t="s">
        <v>12</v>
      </c>
      <c r="B58" s="103" t="s">
        <v>1118</v>
      </c>
      <c r="C58" s="103" t="s">
        <v>1119</v>
      </c>
      <c r="D58" s="103" t="s">
        <v>1120</v>
      </c>
      <c r="E58" s="103" t="s">
        <v>1121</v>
      </c>
      <c r="F58" s="103" t="s">
        <v>46</v>
      </c>
      <c r="G58" s="103" t="s">
        <v>13</v>
      </c>
    </row>
    <row r="59" spans="1:7">
      <c r="A59" s="103" t="s">
        <v>128</v>
      </c>
      <c r="B59" s="103" t="s">
        <v>1122</v>
      </c>
      <c r="C59" s="103" t="s">
        <v>1123</v>
      </c>
      <c r="D59" s="103" t="s">
        <v>1124</v>
      </c>
      <c r="E59" s="103" t="s">
        <v>129</v>
      </c>
      <c r="F59" s="103" t="s">
        <v>42</v>
      </c>
      <c r="G59" s="103" t="s">
        <v>1125</v>
      </c>
    </row>
    <row r="60" spans="1:7">
      <c r="A60" s="103" t="s">
        <v>130</v>
      </c>
      <c r="B60" s="103" t="s">
        <v>1126</v>
      </c>
      <c r="C60" s="103" t="s">
        <v>131</v>
      </c>
      <c r="D60" s="103" t="s">
        <v>1127</v>
      </c>
      <c r="E60" s="103" t="s">
        <v>1128</v>
      </c>
      <c r="F60" s="103" t="s">
        <v>42</v>
      </c>
      <c r="G60" s="103" t="s">
        <v>1129</v>
      </c>
    </row>
    <row r="61" spans="1:7">
      <c r="A61" s="103" t="s">
        <v>1130</v>
      </c>
      <c r="B61" s="103" t="s">
        <v>1131</v>
      </c>
      <c r="C61" s="279" t="s">
        <v>1132</v>
      </c>
      <c r="D61" s="103" t="s">
        <v>1133</v>
      </c>
      <c r="E61" s="103" t="s">
        <v>1134</v>
      </c>
      <c r="F61" s="103" t="s">
        <v>42</v>
      </c>
      <c r="G61" s="103" t="s">
        <v>1135</v>
      </c>
    </row>
    <row r="62" spans="1:7">
      <c r="A62" s="103" t="s">
        <v>132</v>
      </c>
      <c r="B62" s="103" t="s">
        <v>1136</v>
      </c>
      <c r="C62" s="103" t="s">
        <v>1137</v>
      </c>
      <c r="D62" s="103" t="s">
        <v>1138</v>
      </c>
      <c r="E62" s="103" t="s">
        <v>1139</v>
      </c>
      <c r="F62" s="103" t="s">
        <v>42</v>
      </c>
      <c r="G62" s="103" t="s">
        <v>1140</v>
      </c>
    </row>
    <row r="63" spans="1:7">
      <c r="A63" s="103" t="s">
        <v>133</v>
      </c>
      <c r="B63" s="103" t="s">
        <v>1141</v>
      </c>
      <c r="C63" s="103" t="s">
        <v>1142</v>
      </c>
      <c r="D63" s="103" t="s">
        <v>1143</v>
      </c>
      <c r="E63" s="103" t="s">
        <v>1144</v>
      </c>
      <c r="F63" s="103" t="s">
        <v>42</v>
      </c>
      <c r="G63" s="103" t="s">
        <v>1145</v>
      </c>
    </row>
    <row r="64" spans="1:7">
      <c r="A64" s="103" t="s">
        <v>134</v>
      </c>
      <c r="B64" s="103" t="s">
        <v>1146</v>
      </c>
      <c r="C64" s="103"/>
      <c r="D64" s="103"/>
      <c r="E64" s="103" t="s">
        <v>135</v>
      </c>
      <c r="F64" s="103" t="s">
        <v>42</v>
      </c>
      <c r="G64" s="103" t="s">
        <v>1147</v>
      </c>
    </row>
    <row r="65" spans="1:7">
      <c r="A65" s="103" t="s">
        <v>12</v>
      </c>
      <c r="B65" s="103" t="s">
        <v>13</v>
      </c>
      <c r="C65" s="103" t="s">
        <v>136</v>
      </c>
      <c r="D65" s="103" t="s">
        <v>137</v>
      </c>
      <c r="E65" s="103" t="s">
        <v>45</v>
      </c>
      <c r="F65" s="103" t="s">
        <v>46</v>
      </c>
      <c r="G65" s="103" t="s">
        <v>13</v>
      </c>
    </row>
    <row r="66" spans="1:7">
      <c r="A66" s="103" t="s">
        <v>138</v>
      </c>
      <c r="B66" s="103" t="s">
        <v>1148</v>
      </c>
      <c r="C66" s="103" t="s">
        <v>139</v>
      </c>
      <c r="D66" s="103" t="s">
        <v>1149</v>
      </c>
      <c r="E66" s="103" t="s">
        <v>140</v>
      </c>
      <c r="F66" s="103" t="s">
        <v>42</v>
      </c>
      <c r="G66" s="103" t="s">
        <v>1150</v>
      </c>
    </row>
    <row r="67" spans="1:7">
      <c r="A67" s="103" t="s">
        <v>141</v>
      </c>
      <c r="B67" s="103" t="s">
        <v>1151</v>
      </c>
      <c r="C67" s="103" t="s">
        <v>142</v>
      </c>
      <c r="D67" s="103" t="s">
        <v>1152</v>
      </c>
      <c r="E67" s="103" t="s">
        <v>143</v>
      </c>
      <c r="F67" s="103" t="s">
        <v>42</v>
      </c>
      <c r="G67" s="103" t="s">
        <v>1153</v>
      </c>
    </row>
    <row r="68" spans="1:7">
      <c r="A68" s="103" t="s">
        <v>1154</v>
      </c>
      <c r="B68" s="103" t="s">
        <v>1155</v>
      </c>
      <c r="C68" s="103" t="s">
        <v>144</v>
      </c>
      <c r="D68" s="103" t="s">
        <v>1156</v>
      </c>
      <c r="E68" s="103" t="s">
        <v>145</v>
      </c>
      <c r="F68" s="103" t="s">
        <v>42</v>
      </c>
      <c r="G68" s="103" t="s">
        <v>1153</v>
      </c>
    </row>
    <row r="69" spans="1:7">
      <c r="A69" s="103" t="s">
        <v>146</v>
      </c>
      <c r="B69" s="103" t="s">
        <v>1157</v>
      </c>
      <c r="C69" s="103" t="s">
        <v>1158</v>
      </c>
      <c r="D69" s="103" t="s">
        <v>1153</v>
      </c>
      <c r="E69" s="103" t="s">
        <v>147</v>
      </c>
      <c r="F69" s="103" t="s">
        <v>42</v>
      </c>
      <c r="G69" s="103" t="s">
        <v>1159</v>
      </c>
    </row>
    <row r="70" spans="1:7">
      <c r="A70" s="103" t="s">
        <v>12</v>
      </c>
      <c r="B70" s="103" t="s">
        <v>13</v>
      </c>
      <c r="C70" s="103" t="s">
        <v>148</v>
      </c>
      <c r="D70" s="103" t="s">
        <v>149</v>
      </c>
      <c r="E70" s="103" t="s">
        <v>45</v>
      </c>
      <c r="F70" s="103" t="s">
        <v>46</v>
      </c>
      <c r="G70" s="103" t="s">
        <v>13</v>
      </c>
    </row>
    <row r="71" spans="1:7">
      <c r="A71" s="103" t="s">
        <v>150</v>
      </c>
      <c r="B71" s="103" t="s">
        <v>1160</v>
      </c>
      <c r="C71" s="103" t="s">
        <v>151</v>
      </c>
      <c r="D71" s="103" t="s">
        <v>1161</v>
      </c>
      <c r="E71" s="103"/>
      <c r="F71" s="103"/>
      <c r="G71" s="103"/>
    </row>
    <row r="72" spans="1:7">
      <c r="A72" s="103" t="s">
        <v>152</v>
      </c>
      <c r="B72" s="103" t="s">
        <v>1162</v>
      </c>
      <c r="C72" s="103" t="s">
        <v>153</v>
      </c>
      <c r="D72" s="103" t="s">
        <v>1163</v>
      </c>
      <c r="E72" s="103" t="s">
        <v>154</v>
      </c>
      <c r="F72" s="103" t="s">
        <v>42</v>
      </c>
      <c r="G72" s="103" t="s">
        <v>1164</v>
      </c>
    </row>
    <row r="73" spans="1:7">
      <c r="A73" s="103" t="s">
        <v>155</v>
      </c>
      <c r="B73" s="103" t="s">
        <v>1165</v>
      </c>
      <c r="C73" s="103" t="s">
        <v>156</v>
      </c>
      <c r="D73" s="103" t="s">
        <v>1166</v>
      </c>
      <c r="E73" s="103" t="s">
        <v>157</v>
      </c>
      <c r="F73" s="103" t="s">
        <v>42</v>
      </c>
      <c r="G73" s="103" t="s">
        <v>1167</v>
      </c>
    </row>
    <row r="74" spans="1:7">
      <c r="A74" s="103" t="s">
        <v>1168</v>
      </c>
      <c r="B74" s="103" t="s">
        <v>1169</v>
      </c>
      <c r="C74" s="103" t="s">
        <v>1170</v>
      </c>
      <c r="D74" s="103" t="s">
        <v>1171</v>
      </c>
      <c r="E74" s="103" t="s">
        <v>1172</v>
      </c>
      <c r="F74" s="103" t="s">
        <v>42</v>
      </c>
      <c r="G74" s="103" t="s">
        <v>1173</v>
      </c>
    </row>
    <row r="75" spans="1:7">
      <c r="A75" s="103" t="s">
        <v>158</v>
      </c>
      <c r="B75" s="103" t="s">
        <v>1174</v>
      </c>
      <c r="C75" s="103" t="s">
        <v>159</v>
      </c>
      <c r="D75" s="103" t="s">
        <v>1175</v>
      </c>
      <c r="E75" s="103" t="s">
        <v>160</v>
      </c>
      <c r="F75" s="103" t="s">
        <v>42</v>
      </c>
      <c r="G75" s="103" t="s">
        <v>1176</v>
      </c>
    </row>
    <row r="76" spans="1:7">
      <c r="A76" s="103"/>
      <c r="B76" s="103"/>
      <c r="C76" s="103" t="s">
        <v>161</v>
      </c>
      <c r="D76" s="103" t="s">
        <v>1177</v>
      </c>
      <c r="E76" s="103"/>
      <c r="F76" s="103"/>
      <c r="G76" s="103"/>
    </row>
    <row r="77" spans="1:7">
      <c r="A77" s="103" t="s">
        <v>12</v>
      </c>
      <c r="B77" s="103" t="s">
        <v>13</v>
      </c>
      <c r="C77" s="103" t="s">
        <v>12</v>
      </c>
      <c r="D77" s="103" t="s">
        <v>13</v>
      </c>
      <c r="E77" s="103" t="s">
        <v>45</v>
      </c>
      <c r="F77" s="103" t="s">
        <v>46</v>
      </c>
      <c r="G77" s="103" t="s">
        <v>13</v>
      </c>
    </row>
    <row r="78" spans="1:7">
      <c r="A78" s="103" t="s">
        <v>162</v>
      </c>
      <c r="B78" s="103" t="s">
        <v>163</v>
      </c>
      <c r="C78" s="103" t="s">
        <v>1178</v>
      </c>
      <c r="D78" s="103" t="s">
        <v>1002</v>
      </c>
      <c r="E78" s="103" t="s">
        <v>1179</v>
      </c>
      <c r="F78" s="103" t="s">
        <v>1180</v>
      </c>
      <c r="G78" s="103" t="s">
        <v>1181</v>
      </c>
    </row>
    <row r="79" spans="1:7">
      <c r="A79" s="103" t="s">
        <v>164</v>
      </c>
      <c r="B79" s="103" t="s">
        <v>165</v>
      </c>
      <c r="C79" s="103" t="s">
        <v>166</v>
      </c>
      <c r="D79" s="103" t="s">
        <v>167</v>
      </c>
      <c r="E79" s="103" t="s">
        <v>168</v>
      </c>
      <c r="F79" s="103" t="s">
        <v>169</v>
      </c>
      <c r="G79" s="103" t="s">
        <v>170</v>
      </c>
    </row>
    <row r="80" spans="1:7">
      <c r="A80" s="103" t="s">
        <v>171</v>
      </c>
      <c r="B80" s="103" t="s">
        <v>172</v>
      </c>
      <c r="C80" s="103" t="s">
        <v>173</v>
      </c>
      <c r="D80" s="103" t="s">
        <v>174</v>
      </c>
      <c r="E80" s="103" t="s">
        <v>175</v>
      </c>
      <c r="F80" s="103"/>
      <c r="G80" s="103" t="s">
        <v>176</v>
      </c>
    </row>
    <row r="81" spans="1:7">
      <c r="A81" s="103" t="s">
        <v>177</v>
      </c>
      <c r="B81" s="103" t="s">
        <v>178</v>
      </c>
      <c r="C81" s="103" t="s">
        <v>179</v>
      </c>
      <c r="D81" s="103" t="s">
        <v>180</v>
      </c>
      <c r="E81" s="103"/>
      <c r="F81" s="103"/>
      <c r="G81" s="103"/>
    </row>
    <row r="82" spans="1:7">
      <c r="A82" s="103" t="s">
        <v>177</v>
      </c>
      <c r="B82" s="103" t="s">
        <v>178</v>
      </c>
      <c r="C82" s="103" t="s">
        <v>179</v>
      </c>
      <c r="D82" s="103" t="s">
        <v>180</v>
      </c>
      <c r="E82" s="103"/>
      <c r="F82" s="103"/>
      <c r="G82" s="103"/>
    </row>
    <row r="83" spans="1:7">
      <c r="A83" s="103"/>
      <c r="B83" s="103"/>
      <c r="C83" s="103"/>
      <c r="D83" s="103"/>
      <c r="E83" s="103"/>
      <c r="F83" s="103"/>
      <c r="G83" s="103"/>
    </row>
    <row r="84" spans="1:7">
      <c r="A84" s="103" t="s">
        <v>181</v>
      </c>
      <c r="B84" s="103" t="s">
        <v>182</v>
      </c>
      <c r="C84" s="103" t="s">
        <v>1182</v>
      </c>
      <c r="D84" s="103" t="s">
        <v>1183</v>
      </c>
      <c r="E84" s="103"/>
      <c r="F84" s="103"/>
      <c r="G84" s="103"/>
    </row>
    <row r="85" spans="1:7">
      <c r="A85" s="103" t="s">
        <v>185</v>
      </c>
      <c r="B85" s="103" t="s">
        <v>186</v>
      </c>
      <c r="C85" s="103" t="s">
        <v>183</v>
      </c>
      <c r="D85" s="103" t="s">
        <v>184</v>
      </c>
      <c r="E85" s="103"/>
      <c r="F85" s="103"/>
      <c r="G85" s="103"/>
    </row>
    <row r="86" spans="1:7">
      <c r="A86" s="103"/>
      <c r="B86" s="103"/>
      <c r="C86" s="103"/>
      <c r="D86" s="103"/>
      <c r="E86" s="103"/>
      <c r="F86" s="103"/>
      <c r="G86" s="103"/>
    </row>
    <row r="87" spans="1:7">
      <c r="A87" s="103" t="s">
        <v>187</v>
      </c>
      <c r="B87" s="103" t="s">
        <v>188</v>
      </c>
      <c r="C87" s="103"/>
      <c r="D87" s="103"/>
      <c r="E87" s="103"/>
      <c r="F87" s="103"/>
      <c r="G87" s="103"/>
    </row>
    <row r="88" spans="1:7">
      <c r="A88" s="103"/>
      <c r="B88" s="103"/>
      <c r="C88" s="103"/>
      <c r="D88" s="103"/>
      <c r="E88" s="103"/>
      <c r="F88" s="103"/>
      <c r="G88" s="103"/>
    </row>
    <row r="89" spans="1:7">
      <c r="A89" s="103" t="s">
        <v>189</v>
      </c>
      <c r="B89" s="103" t="s">
        <v>1184</v>
      </c>
      <c r="C89" s="103" t="s">
        <v>1185</v>
      </c>
      <c r="D89" s="103" t="s">
        <v>1186</v>
      </c>
      <c r="E89" s="103"/>
      <c r="F89" s="103"/>
      <c r="G89" s="103"/>
    </row>
    <row r="90" spans="1:7">
      <c r="A90" s="103"/>
      <c r="B90" s="103"/>
      <c r="C90" s="103"/>
      <c r="D90" s="103"/>
      <c r="E90" s="103"/>
      <c r="F90" s="103"/>
      <c r="G90" s="103"/>
    </row>
    <row r="91" spans="1:7">
      <c r="A91" s="103"/>
      <c r="B91" s="103"/>
      <c r="C91" s="103"/>
      <c r="D91" s="103"/>
      <c r="E91" s="103"/>
      <c r="F91" s="103"/>
      <c r="G91" s="103"/>
    </row>
  </sheetData>
  <pageMargins left="0.7" right="0.7" top="0.75" bottom="0.75" header="0.3" footer="0.3"/>
  <pageSetup paperSize="9" scale="68" fitToHeight="0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workbookViewId="0">
      <selection activeCell="B96" sqref="B96"/>
    </sheetView>
  </sheetViews>
  <sheetFormatPr defaultRowHeight="12.75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>
      <c r="A1" s="26"/>
      <c r="B1" s="19" t="s">
        <v>190</v>
      </c>
      <c r="C1" s="19" t="s">
        <v>191</v>
      </c>
      <c r="D1" s="19" t="s">
        <v>192</v>
      </c>
      <c r="E1" s="19" t="s">
        <v>193</v>
      </c>
      <c r="F1" s="19"/>
      <c r="G1" s="19"/>
      <c r="H1" s="19"/>
    </row>
    <row r="2" spans="1:12">
      <c r="B2" t="s">
        <v>194</v>
      </c>
      <c r="C2" s="103" t="s">
        <v>4</v>
      </c>
      <c r="D2">
        <f>MATCH(C2,'R'!B1:B70,0)</f>
        <v>7</v>
      </c>
      <c r="E2">
        <v>2</v>
      </c>
    </row>
    <row r="3" spans="1:12">
      <c r="B3" t="s">
        <v>195</v>
      </c>
      <c r="C3" s="103" t="s">
        <v>15</v>
      </c>
      <c r="D3">
        <f>MATCH(C3,'R'!D2:D70,0)</f>
        <v>10</v>
      </c>
      <c r="E3">
        <v>4</v>
      </c>
    </row>
    <row r="4" spans="1:12">
      <c r="B4" t="s">
        <v>196</v>
      </c>
      <c r="C4" s="103" t="s">
        <v>43</v>
      </c>
      <c r="D4">
        <f>MATCH(C4,'R'!C3:C70,0)</f>
        <v>21</v>
      </c>
      <c r="E4">
        <v>3</v>
      </c>
    </row>
    <row r="5" spans="1:12">
      <c r="B5" t="s">
        <v>197</v>
      </c>
      <c r="C5" s="103" t="s">
        <v>76</v>
      </c>
      <c r="D5">
        <f>MATCH(C5,'R'!C4:C91,0)</f>
        <v>33</v>
      </c>
      <c r="E5">
        <v>3</v>
      </c>
    </row>
    <row r="6" spans="1:12">
      <c r="B6" t="s">
        <v>198</v>
      </c>
      <c r="C6" s="103" t="s">
        <v>93</v>
      </c>
      <c r="D6">
        <f>MATCH(C6,'R'!C5:C92,0)</f>
        <v>44</v>
      </c>
      <c r="E6">
        <v>3</v>
      </c>
      <c r="I6" s="1"/>
    </row>
    <row r="7" spans="1:12">
      <c r="B7" t="s">
        <v>199</v>
      </c>
      <c r="C7" s="103" t="s">
        <v>106</v>
      </c>
      <c r="D7">
        <f>MATCH(C7,'R'!B6:B93,0)</f>
        <v>48</v>
      </c>
      <c r="E7">
        <v>2</v>
      </c>
    </row>
    <row r="8" spans="1:12">
      <c r="B8" t="s">
        <v>200</v>
      </c>
      <c r="C8" s="103" t="s">
        <v>127</v>
      </c>
      <c r="D8">
        <f>IF(ISERROR(MATCH(C8,'R'!C44:C91,0)),MATCH("DIMENSIONS, AND COO",'R'!C44:C91,0),MATCH(C8,'R'!C44:C91,0))</f>
        <v>15</v>
      </c>
      <c r="E8">
        <v>3</v>
      </c>
    </row>
    <row r="9" spans="1:12">
      <c r="B9" t="s">
        <v>201</v>
      </c>
      <c r="C9" s="103" t="s">
        <v>137</v>
      </c>
      <c r="D9">
        <f>MATCH(C9,'R'!D8:D95,0)</f>
        <v>58</v>
      </c>
      <c r="E9">
        <v>4</v>
      </c>
    </row>
    <row r="10" spans="1:12">
      <c r="B10" t="s">
        <v>202</v>
      </c>
      <c r="C10" s="103" t="s">
        <v>149</v>
      </c>
      <c r="D10">
        <f>MATCH(C10,'R'!D9:D96,0)</f>
        <v>62</v>
      </c>
      <c r="E10">
        <v>4</v>
      </c>
    </row>
    <row r="11" spans="1:12">
      <c r="B11" t="s">
        <v>203</v>
      </c>
      <c r="C11" s="103" t="s">
        <v>13</v>
      </c>
      <c r="D11">
        <f>MATCH(C11,'R'!D10:D97,0)</f>
        <v>68</v>
      </c>
      <c r="E11">
        <v>4</v>
      </c>
      <c r="I11" s="1"/>
    </row>
    <row r="12" spans="1:12">
      <c r="A12" s="31"/>
      <c r="B12" s="31"/>
      <c r="C12" s="31"/>
      <c r="D12" s="31"/>
      <c r="E12" s="31"/>
      <c r="F12" s="31"/>
      <c r="G12" s="31"/>
      <c r="H12" s="31"/>
      <c r="I12" s="1"/>
    </row>
    <row r="13" spans="1:12">
      <c r="A13" s="33" t="str">
        <f>B2</f>
        <v>Start</v>
      </c>
      <c r="B13" s="32">
        <v>0</v>
      </c>
      <c r="C13" s="32">
        <f t="shared" ref="C13:H13" si="0">B13+1</f>
        <v>1</v>
      </c>
      <c r="D13" s="32">
        <f t="shared" si="0"/>
        <v>2</v>
      </c>
      <c r="E13" s="32">
        <f t="shared" si="0"/>
        <v>3</v>
      </c>
      <c r="F13" s="32">
        <f t="shared" si="0"/>
        <v>4</v>
      </c>
      <c r="G13" s="32">
        <f t="shared" si="0"/>
        <v>5</v>
      </c>
      <c r="H13" s="32">
        <f t="shared" si="0"/>
        <v>6</v>
      </c>
      <c r="I13" s="1"/>
    </row>
    <row r="14" spans="1:1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>
      <c r="A15">
        <v>-1</v>
      </c>
      <c r="B15" t="str">
        <f ca="1">OFFSET('R'!$A$1,P!$D$2+$A15-2,B$13)</f>
        <v>TE: 2023.06.14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10:10:52</v>
      </c>
      <c r="L15" s="103"/>
    </row>
    <row r="16" spans="1:1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>
      <c r="A17">
        <f t="shared" si="1"/>
        <v>1</v>
      </c>
      <c r="B17" t="str">
        <f ca="1">OFFSET('R'!$A$1,P!$D$2+$A17-2,B$13)</f>
        <v>DER : 400033415</v>
      </c>
      <c r="C17" t="str">
        <f ca="1">OFFSET('R'!$A$1,P!$D$2+$A17-2,C$13)</f>
        <v>DESIGN: Data Set 1</v>
      </c>
      <c r="D17" t="str">
        <f ca="1">OFFSET('R'!$A$1,P!$D$2+$A17-2,D$13)</f>
        <v>ENGINEER: KUSHAN</v>
      </c>
      <c r="E17" t="str">
        <f ca="1">OFFSET('R'!$A$1,P!$D$2+$A17-2,E$13)</f>
        <v>CUSTOMER NAME</v>
      </c>
      <c r="F17" t="str">
        <f ca="1">OFFSET('R'!$A$1,P!$D$2+$A17-2,F$13)</f>
        <v>PS Tansania</v>
      </c>
      <c r="G17">
        <f ca="1">OFFSET('R'!$A$1,P!$D$2+$A17-2,G$13)</f>
        <v>0</v>
      </c>
      <c r="H17">
        <f ca="1">OFFSET('R'!$A$1,P!$D$2+$A17-2,H$13)</f>
        <v>0</v>
      </c>
    </row>
    <row r="18" spans="1:10">
      <c r="A18">
        <f t="shared" si="1"/>
        <v>2</v>
      </c>
      <c r="B18" t="str">
        <f ca="1">OFFSET('R'!$A$1,P!$D$2+$A18-2,B$13)</f>
        <v>A -   4000  Liquid</v>
      </c>
      <c r="C18" t="str">
        <f ca="1">OFFSET('R'!$A$1,P!$D$2+$A18-2,C$13)</f>
        <v>Type      ONAN Cooli</v>
      </c>
      <c r="D18" t="str">
        <f ca="1">OFFSET('R'!$A$1,P!$D$2+$A18-2,D$13)</f>
        <v>62 C Rise     Th</v>
      </c>
      <c r="E18" t="str">
        <f ca="1">OFFSET('R'!$A$1,P!$D$2+$A18-2,E$13)</f>
        <v>ree Phase     50 Hz</v>
      </c>
      <c r="F18" t="str">
        <f ca="1">OFFSET('R'!$A$1,P!$D$2+$A18-2,F$13)</f>
        <v>Style Number: Non</v>
      </c>
      <c r="G18" t="str">
        <f ca="1">OFFSET('R'!$A$1,P!$D$2+$A18-2,G$13)</f>
        <v>e</v>
      </c>
      <c r="H18">
        <f ca="1">OFFSET('R'!$A$1,P!$D$2+$A18-2,H$13)</f>
        <v>0</v>
      </c>
    </row>
    <row r="19" spans="1:10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69.982/  40.404</v>
      </c>
    </row>
    <row r="20" spans="1:10">
      <c r="A20">
        <f t="shared" si="1"/>
        <v>4</v>
      </c>
      <c r="B20" t="str">
        <f ca="1">OFFSET('R'!$A$1,P!$D$2+$A20-2,B$13)</f>
        <v>:   415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 t="str">
        <f ca="1">OFFSET('R'!$A$1,P!$D$2+$A20-2,G$13)</f>
        <v>5</v>
      </c>
      <c r="H20" t="str">
        <f ca="1">OFFSET('R'!$A$1,P!$D$2+$A20-2,H$13)</f>
        <v>564.822/5564.822</v>
      </c>
      <c r="I20" s="1"/>
    </row>
    <row r="21" spans="1:10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     Mitered</v>
      </c>
      <c r="D22" t="str">
        <f ca="1">OFFSET('R'!$A$1,P!$D$2+$A22-2,D$13)</f>
        <v>Diagonal Dimension:</v>
      </c>
      <c r="E22" t="str">
        <f ca="1">OFFSET('R'!$A$1,P!$D$2+$A22-2,E$13)</f>
        <v>300.000 x 351.095 mm</v>
      </c>
      <c r="F22" t="str">
        <f ca="1">OFFSET('R'!$A$1,P!$D$2+$A22-2,F$13)</f>
        <v>Step 1:  300.000,</v>
      </c>
      <c r="G22">
        <f ca="1">OFFSET('R'!$A$1,P!$D$2+$A22-2,G$13)</f>
        <v>0</v>
      </c>
      <c r="H22" t="str">
        <f ca="1">OFFSET('R'!$A$1,P!$D$2+$A22-2,H$13)</f>
        <v>51.095 mm   704.6 kg</v>
      </c>
    </row>
    <row r="23" spans="1:10">
      <c r="A23" s="33" t="str">
        <f>B3</f>
        <v>Core</v>
      </c>
      <c r="B23" s="31"/>
      <c r="C23" s="31"/>
      <c r="D23" s="31"/>
      <c r="E23" s="31"/>
      <c r="F23" s="31"/>
      <c r="G23" s="31"/>
      <c r="H23" s="31"/>
      <c r="I23" s="1"/>
    </row>
    <row r="24" spans="1:10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     Mitered</v>
      </c>
      <c r="D25" t="str">
        <f ca="1">OFFSET('R'!$A$1,P!$D$3+$A25,D$13)</f>
        <v>Diagonal Dimension:</v>
      </c>
      <c r="E25" t="str">
        <f ca="1">OFFSET('R'!$A$1,P!$D$3+$A25,E$13)</f>
        <v>300.000 x 351.095 mm</v>
      </c>
      <c r="F25" t="str">
        <f ca="1">OFFSET('R'!$A$1,P!$D$3+$A25,F$13)</f>
        <v>Step 1:  300.000,</v>
      </c>
      <c r="G25">
        <f ca="1">OFFSET('R'!$A$1,P!$D$3+$A25,G$13)</f>
        <v>0</v>
      </c>
      <c r="H25" t="str">
        <f ca="1">OFFSET('R'!$A$1,P!$D$3+$A25,H$13)</f>
        <v>51.095 mm   704.6 kg</v>
      </c>
      <c r="I25" s="1"/>
    </row>
    <row r="26" spans="1:10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27ZH00 / 3-Leg</v>
      </c>
      <c r="D26" t="str">
        <f ca="1">OFFSET('R'!$A$1,P!$D$3+$A26,D$13)</f>
        <v>Window Height.....:</v>
      </c>
      <c r="E26" t="str">
        <f ca="1">OFFSET('R'!$A$1,P!$D$3+$A26,E$13)</f>
        <v>890.000 mm</v>
      </c>
      <c r="F26" t="str">
        <f ca="1">OFFSET('R'!$A$1,P!$D$3+$A26,F$13)</f>
        <v>Step 2:  290.000,</v>
      </c>
      <c r="G26">
        <f ca="1">OFFSET('R'!$A$1,P!$D$3+$A26,G$13)</f>
        <v>0</v>
      </c>
      <c r="H26" t="str">
        <f ca="1">OFFSET('R'!$A$1,P!$D$3+$A26,H$13)</f>
        <v>77.970 mm  1039.3 kg</v>
      </c>
      <c r="I26" s="1"/>
      <c r="J26" s="5"/>
    </row>
    <row r="27" spans="1:10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1.750 Tesla</v>
      </c>
      <c r="D27" t="str">
        <f ca="1">OFFSET('R'!$A$1,P!$D$3+$A27,D$13)</f>
        <v>Center to Center..:</v>
      </c>
      <c r="E27" t="str">
        <f ca="1">OFFSET('R'!$A$1,P!$D$3+$A27,E$13)</f>
        <v>655.421 mm</v>
      </c>
      <c r="F27" t="str">
        <f ca="1">OFFSET('R'!$A$1,P!$D$3+$A27,F$13)</f>
        <v>Step 3:  260.000,</v>
      </c>
      <c r="G27">
        <f ca="1">OFFSET('R'!$A$1,P!$D$3+$A27,G$13)</f>
        <v>0</v>
      </c>
      <c r="H27" t="str">
        <f ca="1">OFFSET('R'!$A$1,P!$D$3+$A27,H$13)</f>
        <v>72.220 mm   863.1 kg</v>
      </c>
      <c r="I27" s="1"/>
    </row>
    <row r="28" spans="1:10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29.950, 1.225, 1.05</v>
      </c>
      <c r="D28" t="str">
        <f ca="1">OFFSET('R'!$A$1,P!$D$3+$A28,D$13)</f>
        <v>Gross/Net CSA.....:</v>
      </c>
      <c r="E28" t="str">
        <f ca="1">OFFSET('R'!$A$1,P!$D$3+$A28,E$13)</f>
        <v>793.1 / 770.9 cm2</v>
      </c>
      <c r="F28" t="str">
        <f ca="1">OFFSET('R'!$A$1,P!$D$3+$A28,F$13)</f>
        <v>Step 4:  220.000,</v>
      </c>
      <c r="G28">
        <f ca="1">OFFSET('R'!$A$1,P!$D$3+$A28,G$13)</f>
        <v>0</v>
      </c>
      <c r="H28" t="str">
        <f ca="1">OFFSET('R'!$A$1,P!$D$3+$A28,H$13)</f>
        <v>54.280 mm   548.9 kg</v>
      </c>
      <c r="I28" s="1"/>
    </row>
    <row r="29" spans="1:10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0.3902</v>
      </c>
      <c r="D29" t="str">
        <f ca="1">OFFSET('R'!$A$1,P!$D$3+$A29,D$13)</f>
        <v>Weight of Core-Leg:</v>
      </c>
      <c r="E29" t="str">
        <f ca="1">OFFSET('R'!$A$1,P!$D$3+$A29,E$13)</f>
        <v>2036.9 kg</v>
      </c>
      <c r="F29" t="str">
        <f ca="1">OFFSET('R'!$A$1,P!$D$3+$A29,F$13)</f>
        <v>Step 5:  180.000,</v>
      </c>
      <c r="G29">
        <f ca="1">OFFSET('R'!$A$1,P!$D$3+$A29,G$13)</f>
        <v>0</v>
      </c>
      <c r="H29" t="str">
        <f ca="1">OFFSET('R'!$A$1,P!$D$3+$A29,H$13)</f>
        <v>35.880 mm   296.9 kg</v>
      </c>
    </row>
    <row r="30" spans="1:10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58.2 db /   484 Hz</v>
      </c>
      <c r="D30" t="str">
        <f ca="1">OFFSET('R'!$A$1,P!$D$3+$A30,D$13)</f>
        <v>Weight of Yoke....:</v>
      </c>
      <c r="E30" t="str">
        <f ca="1">OFFSET('R'!$A$1,P!$D$3+$A30,E$13)</f>
        <v>1463.3 kg</v>
      </c>
      <c r="F30" t="str">
        <f ca="1">OFFSET('R'!$A$1,P!$D$3+$A30,F$13)</f>
        <v>Step 6:  120.000,</v>
      </c>
      <c r="G30">
        <f ca="1">OFFSET('R'!$A$1,P!$D$3+$A30,G$13)</f>
        <v>0</v>
      </c>
      <c r="H30" t="str">
        <f ca="1">OFFSET('R'!$A$1,P!$D$3+$A30,H$13)</f>
        <v>34.960 mm   192.8 kg</v>
      </c>
    </row>
    <row r="31" spans="1:10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558 amp</v>
      </c>
      <c r="D31" t="str">
        <f ca="1">OFFSET('R'!$A$1,P!$D$3+$A31,D$13)</f>
        <v>Core Net Weight...:</v>
      </c>
      <c r="E31" t="str">
        <f ca="1">OFFSET('R'!$A$1,P!$D$3+$A31,E$13)</f>
        <v>3500.0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0.9221</v>
      </c>
      <c r="D32" t="str">
        <f ca="1">OFFSET('R'!$A$1,P!$D$3+$A32,D$13)</f>
        <v>Core Scrap Weight.:</v>
      </c>
      <c r="E32" t="str">
        <f ca="1">OFFSET('R'!$A$1,P!$D$3+$A32,E$13)</f>
        <v>145.4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3645.4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1.088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1044.7 mm</v>
      </c>
      <c r="D35" t="str">
        <f ca="1">OFFSET('R'!$A$1,P!$D$3+$A35,D$13)</f>
        <v>Delta Build.......:</v>
      </c>
      <c r="E35" t="str">
        <f ca="1">OFFSET('R'!$A$1,P!$D$3+$A35,E$13)</f>
        <v>51.1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>
      <c r="A37">
        <v>13</v>
      </c>
      <c r="B37" t="str">
        <f ca="1">OFFSET('R'!$A$1,P!$D$3+$A37,B$13)</f>
        <v>Type of Coil......:</v>
      </c>
      <c r="C37" t="str">
        <f ca="1">OFFSET('R'!$A$1,P!$D$3+$A37,C$13)</f>
        <v>CU-Foil</v>
      </c>
      <c r="D37" t="str">
        <f ca="1">OFFSET('R'!$A$1,P!$D$3+$A37,D$13)</f>
        <v>Coil-Length.......:</v>
      </c>
      <c r="E37" t="str">
        <f ca="1">OFFSET('R'!$A$1,P!$D$3+$A37,E$13)</f>
        <v>840.000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800.000  mm</v>
      </c>
    </row>
    <row r="38" spans="1:9">
      <c r="A38">
        <v>14</v>
      </c>
      <c r="B38" t="str">
        <f ca="1">OFFSET('R'!$A$1,P!$D$3+$A38,B$13)</f>
        <v>TURNS PER COIL....:</v>
      </c>
      <c r="C38" t="str">
        <f ca="1">OFFSET('R'!$A$1,P!$D$3+$A38,C$13)</f>
        <v>1 x    8.0</v>
      </c>
      <c r="D38" t="str">
        <f ca="1">OFFSET('R'!$A$1,P!$D$3+$A38,D$13)</f>
        <v>Inside Dimensions.:</v>
      </c>
      <c r="E38" t="str">
        <f ca="1">OFFSET('R'!$A$1,P!$D$3+$A38,E$13)</f>
        <v>307.000 x358.095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1x1x 800.00 x 3.000</v>
      </c>
    </row>
    <row r="39" spans="1:9">
      <c r="A39" s="33" t="str">
        <f>B4</f>
        <v>LV</v>
      </c>
      <c r="B39" s="31"/>
      <c r="C39" s="31"/>
      <c r="D39" s="31"/>
      <c r="E39" s="31"/>
      <c r="F39" s="31"/>
      <c r="G39" s="31"/>
      <c r="H39" s="31"/>
      <c r="I39" s="1"/>
    </row>
    <row r="40" spans="1:9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840.000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800.000  mm</v>
      </c>
      <c r="I41" s="1"/>
    </row>
    <row r="42" spans="1:9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 8.0</v>
      </c>
      <c r="D42" t="str">
        <f ca="1">OFFSET('R'!$A$1,P!$D$4+$A42,D$13)</f>
        <v>Inside Dimensions.:</v>
      </c>
      <c r="E42" t="str">
        <f ca="1">OFFSET('R'!$A$1,P!$D$4+$A42,E$13)</f>
        <v>307.000 x358.095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800.00 x 3.000</v>
      </c>
      <c r="I42" s="1"/>
    </row>
    <row r="43" spans="1:9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2.319 A/mm2</v>
      </c>
      <c r="D43" t="str">
        <f ca="1">OFFSET('R'!$A$1,P!$D$4+$A43,D$13)</f>
        <v>Outside Dimensions:</v>
      </c>
      <c r="E43" t="str">
        <f ca="1">OFFSET('R'!$A$1,P!$D$4+$A43,E$13)</f>
        <v>372.421 x423.516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603.53 / 113.33 kg</v>
      </c>
    </row>
    <row r="44" spans="1:9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1066.7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16"/>
    </row>
    <row r="45" spans="1:9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1.00</v>
      </c>
      <c r="D45" t="str">
        <f ca="1">OFFSET('R'!$A$1,P!$D$4+$A45,D$13)</f>
        <v>Rad Blds (H,Leg,L):</v>
      </c>
      <c r="E45" t="str">
        <f ca="1">OFFSET('R'!$A$1,P!$D$4+$A45,E$13)</f>
        <v>32.71/ 32.71/ 32.71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10.31/  0.00/  1.73</v>
      </c>
      <c r="I45" s="1"/>
    </row>
    <row r="46" spans="1:9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1 Leg: 1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12.04 kg</v>
      </c>
    </row>
    <row r="47" spans="1:9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167995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1169.422 mm</v>
      </c>
      <c r="D48" t="str">
        <f ca="1">OFFSET('R'!$A$1,P!$D$4+$A48,D$13)</f>
        <v>Lead:    Wd / Tk..:</v>
      </c>
      <c r="E48" t="str">
        <f ca="1">OFFSET('R'!$A$1,P!$D$4+$A48,E$13)</f>
        <v>100.000 / 20.000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728.90 kg</v>
      </c>
    </row>
    <row r="49" spans="1:9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2655.562 mm</v>
      </c>
      <c r="D49" t="str">
        <f ca="1">OFFSET('R'!$A$1,P!$D$4+$A49,D$13)</f>
        <v>Bus Bar: Wd / Tk..:</v>
      </c>
      <c r="E49" t="str">
        <f ca="1">OFFSET('R'!$A$1,P!$D$4+$A49,E$13)</f>
        <v>100.000 / 20.000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0.400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60.5/17.9 deg C</v>
      </c>
      <c r="D51" t="str">
        <f ca="1">OFFSET('R'!$A$1,P!$D$4+$A51,D$13)</f>
        <v>Watts/sq m .......:</v>
      </c>
      <c r="E51" t="str">
        <f ca="1">OFFSET('R'!$A$1,P!$D$4+$A51,E$13)</f>
        <v>1143.851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8.2E-050 @ 75 C</v>
      </c>
    </row>
    <row r="52" spans="1:9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2400.000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>
      <c r="A55" s="33" t="str">
        <f>B5</f>
        <v>HV</v>
      </c>
      <c r="B55" s="31"/>
      <c r="C55" s="31"/>
      <c r="D55" s="31"/>
      <c r="E55" s="31"/>
      <c r="F55" s="31"/>
      <c r="G55" s="31"/>
      <c r="H55" s="31"/>
      <c r="I55" s="1"/>
    </row>
    <row r="56" spans="1:9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840.000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750.000 /  735.600</v>
      </c>
    </row>
    <row r="58" spans="1:9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CU-Rectangular</v>
      </c>
      <c r="D58" t="str">
        <f ca="1">OFFSET('R'!$A$1,P!$D$5+$A58,D$13)</f>
        <v>Inside Dimensions.:</v>
      </c>
      <c r="E58" t="str">
        <f ca="1">OFFSET('R'!$A$1,P!$D$5+$A58,E$13)</f>
        <v>414.421 x 465.516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1x2x 2.700 x 6.700</v>
      </c>
    </row>
    <row r="59" spans="1:9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1157/   1102</v>
      </c>
      <c r="D59" t="str">
        <f ca="1">OFFSET('R'!$A$1,P!$D$5+$A59,D$13)</f>
        <v>Outside Dimensions:</v>
      </c>
      <c r="E59" t="str">
        <f ca="1">OFFSET('R'!$A$1,P!$D$5+$A59,E$13)</f>
        <v>632.421 x 683.516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35.08124 mm2</v>
      </c>
    </row>
    <row r="60" spans="1:9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3.00</v>
      </c>
      <c r="D60" t="str">
        <f ca="1">OFFSET('R'!$A$1,P!$D$5+$A60,D$13)</f>
        <v>Rad Blds (H,Leg,L):</v>
      </c>
      <c r="E60" t="str">
        <f ca="1">OFFSET('R'!$A$1,P!$D$5+$A60,E$13)</f>
        <v>109.00/109.00/109.00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1905.56 kg</v>
      </c>
    </row>
    <row r="61" spans="1:9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3 Leg: 3 LV: 3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67.95/ 51.61/  7.74</v>
      </c>
    </row>
    <row r="62" spans="1:9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1746.6 mm</v>
      </c>
      <c r="D62" t="str">
        <f ca="1">OFFSET('R'!$A$1,P!$D$5+$A62,D$13)</f>
        <v>Layer/Turn Ins Bd.:</v>
      </c>
      <c r="E62" t="str">
        <f ca="1">OFFSET('R'!$A$1,P!$D$5+$A62,E$13)</f>
        <v>0.650/  0.500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127.30 kg</v>
      </c>
    </row>
    <row r="63" spans="1:9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(19 Full)  0.650 mm</v>
      </c>
      <c r="D63" t="str">
        <f ca="1">OFFSET('R'!$A$1,P!$D$5+$A63,D$13)</f>
        <v>LayIns RB W/OvBld.:</v>
      </c>
      <c r="E63" t="str">
        <f ca="1">OFFSET('R'!$A$1,P!$D$5+$A63,E$13)</f>
        <v>13.72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0.650 mm</v>
      </c>
    </row>
    <row r="64" spans="1:9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1.152 A/mm2</v>
      </c>
      <c r="D64" t="str">
        <f ca="1">OFFSET('R'!$A$1,P!$D$5+$A64,D$13)</f>
        <v># Sup Pts/Ax All..:</v>
      </c>
      <c r="E64" t="str">
        <f ca="1">OFFSET('R'!$A$1,P!$D$5+$A64,E$13)</f>
        <v>12 /  1.200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2032.86 kg</v>
      </c>
    </row>
    <row r="65" spans="1:9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23#  51.00/ 35.00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3054.9</v>
      </c>
    </row>
    <row r="66" spans="1:9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50.3/ 8.1 deg C</v>
      </c>
      <c r="D66" t="str">
        <f ca="1">OFFSET('R'!$A$1,P!$D$5+$A66,D$13)</f>
        <v>Watts/sq m .......:</v>
      </c>
      <c r="E66" t="str">
        <f ca="1">OFFSET('R'!$A$1,P!$D$5+$A66,E$13)</f>
        <v>265.950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1.1500 @ 75 C</v>
      </c>
    </row>
    <row r="67" spans="1:9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Specified Size</v>
      </c>
    </row>
    <row r="68" spans="1:9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>
      <c r="A70" s="33" t="str">
        <f>B6</f>
        <v>Clearances</v>
      </c>
      <c r="B70" s="31"/>
      <c r="C70" s="31"/>
      <c r="D70" s="31"/>
      <c r="E70" s="31"/>
      <c r="F70" s="31"/>
      <c r="G70" s="31"/>
      <c r="H70" s="31"/>
      <c r="I70" s="1"/>
    </row>
    <row r="71" spans="1:9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3.50x  3.50x 10.00</v>
      </c>
      <c r="D72" t="str">
        <f ca="1">OFFSET('R'!$A$1,P!$D$6+$A72,D$13)</f>
        <v>LV Cond to Yoke...:</v>
      </c>
      <c r="E72" t="str">
        <f ca="1">OFFSET('R'!$A$1,P!$D$6+$A72,E$13)</f>
        <v>45.000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50.000 mm</v>
      </c>
    </row>
    <row r="73" spans="1:9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21.000 mm</v>
      </c>
      <c r="D73" t="str">
        <f ca="1">OFFSET('R'!$A$1,P!$D$6+$A73,D$13)</f>
        <v>Ph-Ph Elec Spacing:</v>
      </c>
      <c r="E73" t="str">
        <f ca="1">OFFSET('R'!$A$1,P!$D$6+$A73,E$13)</f>
        <v>23.000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66.000 mm</v>
      </c>
    </row>
    <row r="74" spans="1:9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90.00 / 90.00 mm</v>
      </c>
      <c r="D74" t="str">
        <f ca="1">OFFSET('R'!$A$1,P!$D$6+$A74,D$13)</f>
        <v>HV-Ends...........:</v>
      </c>
      <c r="E74" t="str">
        <f ca="1">OFFSET('R'!$A$1,P!$D$6+$A74,E$13)</f>
        <v>75.000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280.00 / 41.00 mm</v>
      </c>
    </row>
    <row r="75" spans="1:9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1500.0  MVA</v>
      </c>
      <c r="D77" t="str">
        <f ca="1">OFFSET('R'!$A$1,P!$D$6+$A77,D$13)</f>
        <v>E Rnd Wire: AL/CU.:</v>
      </c>
      <c r="E77" t="str">
        <f ca="1">OFFSET('R'!$A$1,P!$D$6+$A77,E$13)</f>
        <v>4.56 / 11.73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3.54</v>
      </c>
    </row>
    <row r="78" spans="1:9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62.0 deg C</v>
      </c>
      <c r="D78" t="str">
        <f ca="1">OFFSET('R'!$A$1,P!$D$6+$A78,D$13)</f>
        <v>Rect Wire : Al/Cu.:</v>
      </c>
      <c r="E78" t="str">
        <f ca="1">OFFSET('R'!$A$1,P!$D$6+$A78,E$13)</f>
        <v>5.63 /  7.37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>
      <c r="A80" s="33" t="str">
        <f>B7</f>
        <v>Calculations</v>
      </c>
      <c r="B80" s="31"/>
      <c r="C80" s="31"/>
      <c r="D80" s="31"/>
      <c r="E80" s="31"/>
      <c r="F80" s="31"/>
      <c r="G80" s="31"/>
      <c r="H80" s="31"/>
      <c r="I80" s="1"/>
    </row>
    <row r="81" spans="1:9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1500.0  MVA</v>
      </c>
      <c r="D82" t="str">
        <f ca="1">OFFSET('R'!$A$1,P!$D$7+$A82,D$13)</f>
        <v>E Rnd Wire: AL/CU.:</v>
      </c>
      <c r="E82" t="str">
        <f ca="1">OFFSET('R'!$A$1,P!$D$7+$A82,E$13)</f>
        <v>4.56 / 11.73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3.54</v>
      </c>
    </row>
    <row r="83" spans="1:9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62.0 deg C</v>
      </c>
      <c r="D83" t="str">
        <f ca="1">OFFSET('R'!$A$1,P!$D$7+$A83,D$13)</f>
        <v>Rect Wire : Al/Cu.:</v>
      </c>
      <c r="E83" t="str">
        <f ca="1">OFFSET('R'!$A$1,P!$D$7+$A83,E$13)</f>
        <v>5.63 /  7.37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56.0 deg C</v>
      </c>
      <c r="D84" t="str">
        <f ca="1">OFFSET('R'!$A$1,P!$D$7+$A84,D$13)</f>
        <v>Foil Cond: AL/CU..:</v>
      </c>
      <c r="E84" t="str">
        <f ca="1">OFFSET('R'!$A$1,P!$D$7+$A84,E$13)</f>
        <v>3.59 / 11.73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0.98 /  6.12</v>
      </c>
    </row>
    <row r="85" spans="1:9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4570 /   35800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0.78 /  3.83</v>
      </c>
    </row>
    <row r="86" spans="1:9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 WEIGHT</v>
      </c>
      <c r="D86" t="str">
        <f ca="1">OFFSET('R'!$A$1,P!$D$7+$A86,D$13)</f>
        <v>DIMENSIONS, AND COO</v>
      </c>
      <c r="E86" t="str">
        <f ca="1">OFFSET('R'!$A$1,P!$D$7+$A86,E$13)</f>
        <v>LING (RADIATORS: MEN</v>
      </c>
      <c r="F86" t="str">
        <f ca="1">OFFSET('R'!$A$1,P!$D$7+$A86,F$13)</f>
        <v>M140 &amp; M141   ) 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6310 kg</v>
      </c>
      <c r="D87" t="str">
        <f ca="1">OFFSET('R'!$A$1,P!$D$7+$A87,D$13)</f>
        <v>Conservator Weight:</v>
      </c>
      <c r="E87" t="str">
        <f ca="1">OFFSET('R'!$A$1,P!$D$7+$A87,E$13)</f>
        <v>96.94 kg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1490.00/1943.26  mm</v>
      </c>
    </row>
    <row r="88" spans="1:9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631 kg</v>
      </c>
      <c r="D88" t="str">
        <f ca="1">OFFSET('R'!$A$1,P!$D$7+$A88,D$13)</f>
        <v>H-L Barrier Weight:</v>
      </c>
      <c r="E88" t="str">
        <f ca="1">OFFSET('R'!$A$1,P!$D$7+$A88,E$13)</f>
        <v>48.61 kg</v>
      </c>
      <c r="F88" t="str">
        <f ca="1">OFFSET('R'!$A$1,P!$D$7+$A88,F$13)</f>
        <v>Ele Derating Fac..</v>
      </c>
      <c r="G88" t="str">
        <f ca="1">OFFSET('R'!$A$1,P!$D$7+$A88,G$13)</f>
        <v>:</v>
      </c>
      <c r="H88" t="str">
        <f ca="1">OFFSET('R'!$A$1,P!$D$7+$A88,H$13)</f>
        <v>1.000</v>
      </c>
    </row>
    <row r="90" spans="1:9">
      <c r="A90" s="33" t="str">
        <f>B8</f>
        <v>Weights &amp; Dimensions</v>
      </c>
      <c r="B90" s="31"/>
      <c r="C90" s="31"/>
      <c r="D90" s="31"/>
      <c r="E90" s="31"/>
      <c r="F90" s="31"/>
      <c r="G90" s="31"/>
      <c r="H90" s="31"/>
      <c r="I90" s="1"/>
    </row>
    <row r="91" spans="1:9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 WEIGHT</v>
      </c>
      <c r="D91" t="str">
        <f ca="1">OFFSET('R'!$A$44,P!$D$8+$A91,D$13)</f>
        <v>DIMENSIONS, AND COO</v>
      </c>
      <c r="E91" t="str">
        <f ca="1">OFFSET('R'!$A$44,P!$D$8+$A91,E$13)</f>
        <v>LING (RADIATORS: MEN</v>
      </c>
      <c r="F91" t="str">
        <f ca="1">OFFSET('R'!$A$44,P!$D$8+$A91,F$13)</f>
        <v>M140 &amp; M141   ) 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6310 kg</v>
      </c>
      <c r="D92" t="str">
        <f ca="1">OFFSET('R'!$A$44,P!$D$8+$A92,D$13)</f>
        <v>Conservator Weight:</v>
      </c>
      <c r="E92" t="str">
        <f ca="1">OFFSET('R'!$A$44,P!$D$8+$A92,E$13)</f>
        <v>96.94 kg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1490.00/1943.26  mm</v>
      </c>
    </row>
    <row r="93" spans="1:9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631 kg</v>
      </c>
      <c r="D93" t="str">
        <f ca="1">OFFSET('R'!$A$44,P!$D$8+$A93,D$13)</f>
        <v>H-L Barrier Weight:</v>
      </c>
      <c r="E93" t="str">
        <f ca="1">OFFSET('R'!$A$44,P!$D$8+$A93,E$13)</f>
        <v>48.61 kg</v>
      </c>
      <c r="F93" t="str">
        <f ca="1">OFFSET('R'!$A$44,P!$D$8+$A93,F$13)</f>
        <v>Ele Derating Fac..</v>
      </c>
      <c r="G93" t="str">
        <f ca="1">OFFSET('R'!$A$44,P!$D$8+$A93,G$13)</f>
        <v>:</v>
      </c>
      <c r="H93" t="str">
        <f ca="1">OFFSET('R'!$A$44,P!$D$8+$A93,H$13)</f>
        <v>1.000</v>
      </c>
    </row>
    <row r="94" spans="1:9">
      <c r="A94">
        <f t="shared" si="7"/>
        <v>2</v>
      </c>
      <c r="B94" t="str">
        <f ca="1">OFFSET('R'!$A$44,P!$D$8+$A94,B$13)</f>
        <v>Silicone Weight...:</v>
      </c>
      <c r="C94" t="str">
        <f ca="1">OFFSET('R'!$A$44,P!$D$8+$A94,C$13)</f>
        <v>2828 kg</v>
      </c>
      <c r="D94" t="str">
        <f ca="1">OFFSET('R'!$A$44,P!$D$8+$A94,D$13)</f>
        <v>Rads - Weight.....:</v>
      </c>
      <c r="E94" t="str">
        <f ca="1">OFFSET('R'!$A$44,P!$D$8+$A94,E$13)</f>
        <v>1205 kg</v>
      </c>
      <c r="F94" t="str">
        <f ca="1">OFFSET('R'!$A$44,P!$D$8+$A94,F$13)</f>
        <v>Rads, Elem/rad, Ht</v>
      </c>
      <c r="G94" t="str">
        <f ca="1">OFFSET('R'!$A$44,P!$D$8+$A94,G$13)</f>
        <v>:</v>
      </c>
      <c r="H94" t="str">
        <f ca="1">OFFSET('R'!$A$44,P!$D$8+$A94,H$13)</f>
        <v>6   14  1300.0  mm</v>
      </c>
    </row>
    <row r="95" spans="1:9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71/     0 kg</v>
      </c>
      <c r="D95" t="str">
        <f ca="1">OFFSET('R'!$A$44,P!$D$8+$A95,D$13)</f>
        <v>Fixed Radiator</v>
      </c>
      <c r="E95" t="str">
        <f ca="1">OFFSET('R'!$A$44,P!$D$8+$A95,E$13)</f>
        <v>Parameters</v>
      </c>
      <c r="F95" t="str">
        <f ca="1">OFFSET('R'!$A$44,P!$D$8+$A95,F$13)</f>
        <v>Elems Req/Actual..</v>
      </c>
      <c r="G95" t="str">
        <f ca="1">OFFSET('R'!$A$44,P!$D$8+$A95,G$13)</f>
        <v>:</v>
      </c>
      <c r="H95" t="str">
        <f ca="1">OFFSET('R'!$A$44,P!$D$8+$A95,H$13)</f>
        <v>71/   84</v>
      </c>
    </row>
    <row r="96" spans="1:9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283/  2862 kg</v>
      </c>
      <c r="D96" t="str">
        <f ca="1">OFFSET('R'!$A$44,P!$D$8+$A96,D$13)</f>
        <v>Rad C to C Space..:</v>
      </c>
      <c r="E96" t="str">
        <f ca="1">OFFSET('R'!$A$44,P!$D$8+$A96,E$13)</f>
        <v>1100.00 mm</v>
      </c>
      <c r="F96" t="str">
        <f ca="1">OFFSET('R'!$A$44,P!$D$8+$A96,F$13)</f>
        <v>Rad Element Wd/Tk.</v>
      </c>
      <c r="G96" t="str">
        <f ca="1">OFFSET('R'!$A$44,P!$D$8+$A96,G$13)</f>
        <v>:</v>
      </c>
      <c r="H96" t="str">
        <f ca="1">OFFSET('R'!$A$44,P!$D$8+$A96,H$13)</f>
        <v>520.00/  11.40  mm</v>
      </c>
    </row>
    <row r="97" spans="1:9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12985 kg</v>
      </c>
      <c r="D97">
        <f ca="1">OFFSET('R'!$A$44,P!$D$8+$A97,D$13)</f>
        <v>0</v>
      </c>
      <c r="E97">
        <f ca="1">OFFSET('R'!$A$44,P!$D$8+$A97,E$13)</f>
        <v>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2093.3x 936.1x1811.0</v>
      </c>
    </row>
    <row r="98" spans="1:9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12390</v>
      </c>
      <c r="D99" t="str">
        <f ca="1">OFFSET('R'!$A$44,P!$D$8+$A99,D$13)</f>
        <v>HV / LV Coil Cost.:</v>
      </c>
      <c r="E99" t="str">
        <f ca="1">OFFSET('R'!$A$44,P!$D$8+$A99,E$13)</f>
        <v>14514/     8462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1512/    4614</v>
      </c>
      <c r="D100" t="str">
        <f ca="1">OFFSET('R'!$A$44,P!$D$8+$A100,D$13)</f>
        <v>Bracing Cost......:</v>
      </c>
      <c r="E100" t="str">
        <f ca="1">OFFSET('R'!$A$44,P!$D$8+$A100,E$13)</f>
        <v>492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61768</v>
      </c>
    </row>
    <row r="102" spans="1:9">
      <c r="A102" s="33" t="str">
        <f>B9</f>
        <v>Prices</v>
      </c>
      <c r="B102" s="31"/>
      <c r="C102" s="31"/>
      <c r="D102" s="31"/>
      <c r="E102" s="31"/>
      <c r="F102" s="31"/>
      <c r="G102" s="31"/>
      <c r="H102" s="31"/>
      <c r="I102" s="1"/>
    </row>
    <row r="103" spans="1:9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12390</v>
      </c>
      <c r="D104" t="str">
        <f ca="1">OFFSET('R'!$A$1,P!$D$9+$A104,D$13)</f>
        <v>HV / LV Coil Cost.:</v>
      </c>
      <c r="E104" t="str">
        <f ca="1">OFFSET('R'!$A$1,P!$D$9+$A104,E$13)</f>
        <v>14514/     8462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1512/    4614</v>
      </c>
      <c r="D105" t="str">
        <f ca="1">OFFSET('R'!$A$1,P!$D$9+$A105,D$13)</f>
        <v>Bracing Cost......:</v>
      </c>
      <c r="E105" t="str">
        <f ca="1">OFFSET('R'!$A$1,P!$D$9+$A105,E$13)</f>
        <v>492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61768</v>
      </c>
    </row>
    <row r="106" spans="1:9">
      <c r="A106">
        <f t="shared" si="8"/>
        <v>9</v>
      </c>
      <c r="B106" t="str">
        <f ca="1">OFFSET('R'!$A$1,P!$D$9+$A106,B$13)</f>
        <v>Silicone Liquid...:</v>
      </c>
      <c r="C106" t="str">
        <f ca="1">OFFSET('R'!$A$1,P!$D$9+$A106,C$13)</f>
        <v>17309</v>
      </c>
      <c r="D106" t="str">
        <f ca="1">OFFSET('R'!$A$1,P!$D$9+$A106,D$13)</f>
        <v>Assy and Misc.....:</v>
      </c>
      <c r="E106" t="str">
        <f ca="1">OFFSET('R'!$A$1,P!$D$9+$A106,E$13)</f>
        <v>2474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61768</v>
      </c>
    </row>
    <row r="107" spans="1:9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0</v>
      </c>
      <c r="D107" t="str">
        <f ca="1">OFFSET('R'!$A$1,P!$D$9+$A107,D$13)</f>
        <v>EVALUATED COST....:</v>
      </c>
      <c r="E107" t="str">
        <f ca="1">OFFSET('R'!$A$1,P!$D$9+$A107,E$13)</f>
        <v>61768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123536</v>
      </c>
    </row>
    <row r="108" spans="1:9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5632  Watts</v>
      </c>
      <c r="D109" t="str">
        <f ca="1">OFFSET('R'!$A$1,P!$D$9+$A109,D$13)</f>
        <v>LV Wdg DC Losses..:</v>
      </c>
      <c r="E109" t="str">
        <f ca="1">OFFSET('R'!$A$1,P!$D$9+$A109,E$13)</f>
        <v>7590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7248 (22.3)</v>
      </c>
      <c r="D110" t="str">
        <f ca="1">OFFSET('R'!$A$1,P!$D$9+$A110,D$13)</f>
        <v>LV Watts (% Eddy).:</v>
      </c>
      <c r="E110" t="str">
        <f ca="1">OFFSET('R'!$A$1,P!$D$9+$A110,E$13)</f>
        <v>10273 (20.8)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1284 /  15225</v>
      </c>
    </row>
    <row r="112" spans="1:9">
      <c r="A112" s="33" t="str">
        <f>B10</f>
        <v>Performance data</v>
      </c>
      <c r="B112" s="31"/>
      <c r="C112" s="31"/>
      <c r="D112" s="31"/>
      <c r="E112" s="31"/>
      <c r="F112" s="31"/>
      <c r="G112" s="31"/>
      <c r="H112" s="31"/>
      <c r="I112" s="1"/>
    </row>
    <row r="113" spans="1:9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5632  Watts</v>
      </c>
      <c r="D114" t="str">
        <f ca="1">OFFSET('R'!$A$1,P!$D$10+$A114,D$13)</f>
        <v>LV Wdg DC Losses..:</v>
      </c>
      <c r="E114" t="str">
        <f ca="1">OFFSET('R'!$A$1,P!$D$10+$A114,E$13)</f>
        <v>7590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7248 (22.3)</v>
      </c>
      <c r="D115" t="str">
        <f ca="1">OFFSET('R'!$A$1,P!$D$10+$A115,D$13)</f>
        <v>LV Watts (% Eddy).:</v>
      </c>
      <c r="E115" t="str">
        <f ca="1">OFFSET('R'!$A$1,P!$D$10+$A115,E$13)</f>
        <v>10273 (20.8)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1284 /  15225</v>
      </c>
    </row>
    <row r="116" spans="1:9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4287  Watts</v>
      </c>
      <c r="D116" t="str">
        <f ca="1">OFFSET('R'!$A$1,P!$D$10+$A116,D$13)</f>
        <v>Tot-Ld Watts(%Ed).:</v>
      </c>
      <c r="E116" t="str">
        <f ca="1">OFFSET('R'!$A$1,P!$D$10+$A116,E$13)</f>
        <v>34030 (59.5)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38317 @  75 C</v>
      </c>
    </row>
    <row r="117" spans="1:9">
      <c r="A117">
        <f t="shared" si="9"/>
        <v>11</v>
      </c>
      <c r="B117" t="str">
        <f ca="1">OFFSET('R'!$A$1,P!$D$10+$A117,B$13)</f>
        <v>Tank Dissipation..:</v>
      </c>
      <c r="C117" t="str">
        <f ca="1">OFFSET('R'!$A$1,P!$D$10+$A117,C$13)</f>
        <v>5964  Watts</v>
      </c>
      <c r="D117" t="str">
        <f ca="1">OFFSET('R'!$A$1,P!$D$10+$A117,D$13)</f>
        <v>Ele Dissipation...:</v>
      </c>
      <c r="E117" t="str">
        <f ca="1">OFFSET('R'!$A$1,P!$D$10+$A117,E$13)</f>
        <v>367  Watts</v>
      </c>
      <c r="F117" t="str">
        <f ca="1">OFFSET('R'!$A$1,P!$D$10+$A117,F$13)</f>
        <v>Total Rad Dissip..</v>
      </c>
      <c r="G117" t="str">
        <f ca="1">OFFSET('R'!$A$1,P!$D$10+$A117,G$13)</f>
        <v>:</v>
      </c>
      <c r="H117" t="str">
        <f ca="1">OFFSET('R'!$A$1,P!$D$10+$A117,H$13)</f>
        <v>32650  Watts</v>
      </c>
    </row>
    <row r="118" spans="1:9">
      <c r="A118">
        <f t="shared" si="9"/>
        <v>12</v>
      </c>
      <c r="B118" t="str">
        <f ca="1">OFFSET('R'!$A$1,P!$D$10+$A118,B$13)</f>
        <v>% X / % R / % Lead:</v>
      </c>
      <c r="C118" t="str">
        <f ca="1">OFFSET('R'!$A$1,P!$D$10+$A118,C$13)</f>
        <v>7.26/0.85/0.38 %</v>
      </c>
      <c r="D118" t="str">
        <f ca="1">OFFSET('R'!$A$1,P!$D$10+$A118,D$13)</f>
        <v>% Z (HV-LV-Lead)..:</v>
      </c>
      <c r="E118" t="str">
        <f ca="1">OFFSET('R'!$A$1,P!$D$10+$A118,E$13)</f>
        <v>7.692 %</v>
      </c>
      <c r="F118" t="str">
        <f ca="1">OFFSET('R'!$A$1,P!$D$10+$A118,F$13)</f>
        <v>TOP OIL RISE......</v>
      </c>
      <c r="G118" t="str">
        <f ca="1">OFFSET('R'!$A$1,P!$D$10+$A118,G$13)</f>
        <v>:</v>
      </c>
      <c r="H118" t="str">
        <f ca="1">OFFSET('R'!$A$1,P!$D$10+$A118,H$13)</f>
        <v>49.7 deg C</v>
      </c>
    </row>
    <row r="119" spans="1:9">
      <c r="A119">
        <f t="shared" si="9"/>
        <v>13</v>
      </c>
      <c r="B119">
        <f ca="1">OFFSET('R'!$A$1,P!$D$10+$A119,B$13)</f>
        <v>0</v>
      </c>
      <c r="C119">
        <f ca="1">OFFSET('R'!$A$1,P!$D$10+$A119,C$13)</f>
        <v>0</v>
      </c>
      <c r="D119" t="str">
        <f ca="1">OFFSET('R'!$A$1,P!$D$10+$A119,D$13)</f>
        <v>% Z Guaranteed....:</v>
      </c>
      <c r="E119" t="str">
        <f ca="1">OFFSET('R'!$A$1,P!$D$10+$A119,E$13)</f>
        <v>7.500 %</v>
      </c>
      <c r="F119">
        <f ca="1">OFFSET('R'!$A$1,P!$D$10+$A119,F$13)</f>
        <v>0</v>
      </c>
      <c r="G119">
        <f ca="1">OFFSET('R'!$A$1,P!$D$10+$A119,G$13)</f>
        <v>0</v>
      </c>
      <c r="H119">
        <f ca="1">OFFSET('R'!$A$1,P!$D$10+$A119,H$13)</f>
        <v>0</v>
      </c>
    </row>
    <row r="121" spans="1:9">
      <c r="A121" s="33" t="str">
        <f>B11</f>
        <v>Factors</v>
      </c>
      <c r="B121" s="31"/>
      <c r="C121" s="31"/>
      <c r="D121" s="31"/>
      <c r="E121" s="31"/>
      <c r="F121" s="31"/>
      <c r="G121" s="31"/>
      <c r="H121" s="31"/>
      <c r="I121" s="1"/>
    </row>
    <row r="122" spans="1:9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900     LV Rad Fact</v>
      </c>
      <c r="E123" t="str">
        <f ca="1">OFFSET('R'!$A$1,P!$D$11+$A123,E$13)</f>
        <v>or -   0.950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Y</v>
      </c>
      <c r="E129" t="str">
        <f ca="1">OFFSET('R'!$A$1,P!$D$11+$A129,E$13)</f>
        <v>ES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>
      <c r="A132" s="31"/>
      <c r="B132" s="31"/>
      <c r="C132" s="31"/>
      <c r="D132" s="31"/>
      <c r="E132" s="31"/>
      <c r="F132" s="31"/>
      <c r="G132" s="31"/>
      <c r="H132" s="31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443" zoomScaleNormal="100" workbookViewId="0">
      <selection activeCell="G225" sqref="G225"/>
    </sheetView>
  </sheetViews>
  <sheetFormatPr defaultRowHeight="12.75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>
      <c r="A1" s="56"/>
      <c r="B1" s="53"/>
      <c r="C1" s="53"/>
      <c r="D1" s="374"/>
      <c r="E1" s="374"/>
      <c r="F1" s="374"/>
      <c r="G1" s="374"/>
      <c r="H1" s="374"/>
      <c r="I1" s="374"/>
      <c r="J1" s="374"/>
      <c r="K1" s="374"/>
      <c r="L1" s="374"/>
    </row>
    <row r="2" spans="1:12" ht="15.75">
      <c r="A2" s="52" t="s">
        <v>204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s="63" customFormat="1">
      <c r="A3" s="62" t="s">
        <v>205</v>
      </c>
      <c r="B3" s="62">
        <v>10</v>
      </c>
      <c r="C3" s="62"/>
    </row>
    <row r="4" spans="1:12" s="63" customFormat="1">
      <c r="A4" s="62" t="s">
        <v>206</v>
      </c>
      <c r="B4" s="62">
        <v>10</v>
      </c>
    </row>
    <row r="5" spans="1:12" s="63" customFormat="1">
      <c r="A5" s="62" t="s">
        <v>207</v>
      </c>
      <c r="B5" s="62">
        <v>30</v>
      </c>
    </row>
    <row r="6" spans="1:12" s="63" customFormat="1">
      <c r="A6" s="62" t="s">
        <v>208</v>
      </c>
      <c r="B6" s="62">
        <v>100</v>
      </c>
    </row>
    <row r="7" spans="1:12" s="63" customFormat="1">
      <c r="A7" s="62"/>
      <c r="B7" s="62"/>
    </row>
    <row r="8" spans="1:12" s="1" customFormat="1">
      <c r="A8" s="19" t="s">
        <v>209</v>
      </c>
      <c r="B8" s="19" t="s">
        <v>210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63" customFormat="1">
      <c r="A10" s="142" t="s">
        <v>211</v>
      </c>
      <c r="B10" s="146">
        <v>0</v>
      </c>
      <c r="C10" s="146">
        <v>0</v>
      </c>
      <c r="D10" s="47"/>
      <c r="E10" s="63">
        <v>2.5</v>
      </c>
    </row>
    <row r="11" spans="1:12" s="63" customFormat="1">
      <c r="A11" s="142"/>
      <c r="B11" s="146">
        <v>0</v>
      </c>
      <c r="C11" s="146">
        <v>0</v>
      </c>
      <c r="D11" s="47"/>
      <c r="E11" s="142">
        <v>2.5</v>
      </c>
    </row>
    <row r="12" spans="1:12" s="63" customFormat="1">
      <c r="A12" s="142" t="s">
        <v>212</v>
      </c>
      <c r="B12" s="146">
        <v>0</v>
      </c>
      <c r="C12" s="146">
        <v>0</v>
      </c>
      <c r="D12" s="47"/>
      <c r="E12" s="142">
        <v>2.5</v>
      </c>
      <c r="H12" s="240" t="s">
        <v>213</v>
      </c>
    </row>
    <row r="13" spans="1:12" s="63" customFormat="1">
      <c r="A13" s="142" t="s">
        <v>214</v>
      </c>
      <c r="B13" s="146">
        <v>0</v>
      </c>
      <c r="C13" s="146">
        <v>0</v>
      </c>
      <c r="D13" s="47"/>
      <c r="E13" s="142">
        <v>2.5</v>
      </c>
    </row>
    <row r="14" spans="1:12" s="63" customFormat="1">
      <c r="A14" s="142" t="s">
        <v>215</v>
      </c>
      <c r="B14" s="146">
        <v>0</v>
      </c>
      <c r="C14" s="146">
        <v>0</v>
      </c>
      <c r="D14" s="141"/>
      <c r="E14" s="142">
        <v>2.5</v>
      </c>
    </row>
    <row r="15" spans="1:12" s="63" customFormat="1">
      <c r="A15" s="142" t="s">
        <v>216</v>
      </c>
      <c r="B15" s="146">
        <v>0</v>
      </c>
      <c r="C15" s="146">
        <v>0</v>
      </c>
      <c r="D15" s="48"/>
      <c r="E15" s="142">
        <v>2.5</v>
      </c>
    </row>
    <row r="16" spans="1:12" s="63" customFormat="1">
      <c r="A16" s="143" t="s">
        <v>217</v>
      </c>
      <c r="B16" s="147">
        <v>0</v>
      </c>
      <c r="C16" s="147">
        <v>0</v>
      </c>
      <c r="D16" s="48"/>
      <c r="E16" s="143">
        <v>2.5</v>
      </c>
    </row>
    <row r="17" spans="1:12" s="63" customFormat="1">
      <c r="A17" s="143" t="s">
        <v>218</v>
      </c>
      <c r="B17" s="147">
        <v>0</v>
      </c>
      <c r="C17" s="147">
        <v>0</v>
      </c>
      <c r="D17" s="48"/>
      <c r="E17" s="143">
        <v>2.5</v>
      </c>
    </row>
    <row r="18" spans="1:12" s="63" customFormat="1">
      <c r="A18" s="144" t="s">
        <v>219</v>
      </c>
      <c r="B18" s="148">
        <v>0</v>
      </c>
      <c r="C18" s="148">
        <v>0</v>
      </c>
      <c r="D18" s="48"/>
      <c r="E18" s="144">
        <v>2.5</v>
      </c>
    </row>
    <row r="19" spans="1:12" s="63" customFormat="1">
      <c r="A19" s="144" t="s">
        <v>220</v>
      </c>
      <c r="B19" s="148">
        <v>0</v>
      </c>
      <c r="C19" s="148">
        <v>0</v>
      </c>
      <c r="D19" s="48"/>
      <c r="E19" s="144">
        <v>2.5</v>
      </c>
    </row>
    <row r="20" spans="1:12" s="63" customFormat="1">
      <c r="A20" s="144" t="s">
        <v>221</v>
      </c>
      <c r="B20" s="148">
        <v>0</v>
      </c>
      <c r="C20" s="148">
        <v>0</v>
      </c>
      <c r="D20" s="48"/>
      <c r="E20" s="144">
        <v>2.5</v>
      </c>
    </row>
    <row r="21" spans="1:12" s="63" customFormat="1">
      <c r="A21" s="144" t="s">
        <v>222</v>
      </c>
      <c r="B21" s="148">
        <v>0</v>
      </c>
      <c r="C21" s="148">
        <v>0</v>
      </c>
      <c r="D21" s="47"/>
      <c r="E21" s="144">
        <v>2.5</v>
      </c>
    </row>
    <row r="22" spans="1:12" s="63" customFormat="1">
      <c r="A22" s="145" t="s">
        <v>223</v>
      </c>
      <c r="B22" s="47">
        <v>0</v>
      </c>
      <c r="C22" s="47">
        <v>0</v>
      </c>
      <c r="D22" s="48"/>
      <c r="E22" s="145">
        <v>2.5</v>
      </c>
    </row>
    <row r="23" spans="1:12" s="63" customFormat="1">
      <c r="A23" s="145" t="s">
        <v>224</v>
      </c>
      <c r="B23" s="47">
        <v>0</v>
      </c>
      <c r="C23" s="47">
        <v>0</v>
      </c>
      <c r="D23" s="48"/>
      <c r="E23" s="145">
        <v>2.5</v>
      </c>
    </row>
    <row r="24" spans="1:12" s="63" customFormat="1">
      <c r="A24" s="145" t="s">
        <v>225</v>
      </c>
      <c r="B24" s="47">
        <v>0</v>
      </c>
      <c r="C24" s="47">
        <v>0</v>
      </c>
      <c r="D24" s="48"/>
      <c r="E24" s="145">
        <v>2.5</v>
      </c>
    </row>
    <row r="25" spans="1:12" s="63" customFormat="1">
      <c r="A25" s="145" t="s">
        <v>226</v>
      </c>
      <c r="B25" s="47">
        <v>0</v>
      </c>
      <c r="C25" s="47">
        <v>0</v>
      </c>
      <c r="D25" s="48"/>
      <c r="E25" s="145">
        <v>2.5</v>
      </c>
    </row>
    <row r="26" spans="1:12" s="63" customFormat="1">
      <c r="A26" s="145" t="s">
        <v>227</v>
      </c>
      <c r="B26" s="47">
        <v>0</v>
      </c>
      <c r="C26" s="47">
        <v>0</v>
      </c>
      <c r="D26" s="48"/>
      <c r="E26" s="145">
        <v>2.5</v>
      </c>
    </row>
    <row r="27" spans="1:12" s="63" customFormat="1">
      <c r="A27" s="145" t="s">
        <v>228</v>
      </c>
      <c r="B27" s="47">
        <v>0</v>
      </c>
      <c r="C27" s="47">
        <v>0</v>
      </c>
      <c r="D27" s="48"/>
      <c r="E27" s="145">
        <v>2.5</v>
      </c>
    </row>
    <row r="28" spans="1:12" s="63" customFormat="1">
      <c r="A28" s="145" t="s">
        <v>229</v>
      </c>
      <c r="B28" s="47">
        <v>0</v>
      </c>
      <c r="C28" s="47">
        <v>0</v>
      </c>
      <c r="D28" s="48"/>
      <c r="E28" s="145">
        <v>2.5</v>
      </c>
    </row>
    <row r="29" spans="1:12" s="63" customFormat="1">
      <c r="A29" s="375" t="s">
        <v>230</v>
      </c>
      <c r="B29" s="141">
        <v>0</v>
      </c>
      <c r="C29" s="141">
        <v>0</v>
      </c>
      <c r="D29" s="48"/>
      <c r="E29" s="375">
        <v>2.5</v>
      </c>
    </row>
    <row r="30" spans="1:12" s="63" customFormat="1">
      <c r="A30" s="375" t="s">
        <v>231</v>
      </c>
      <c r="B30" s="141">
        <v>0</v>
      </c>
      <c r="C30" s="141">
        <v>0</v>
      </c>
      <c r="D30" s="48"/>
      <c r="E30" s="375">
        <v>2.5</v>
      </c>
    </row>
    <row r="31" spans="1:12" s="63" customFormat="1">
      <c r="A31" s="375" t="s">
        <v>232</v>
      </c>
      <c r="B31" s="141">
        <v>0</v>
      </c>
      <c r="C31" s="141">
        <v>0</v>
      </c>
      <c r="D31" s="48"/>
      <c r="E31" s="375">
        <v>2.5</v>
      </c>
    </row>
    <row r="32" spans="1:12" s="1" customForma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4" s="63" customFormat="1">
      <c r="A33" s="62" t="s">
        <v>222</v>
      </c>
      <c r="D33" s="62"/>
      <c r="E33" s="155"/>
    </row>
    <row r="34" spans="1:14">
      <c r="A34" s="1"/>
      <c r="B34" s="8"/>
      <c r="C34" s="1"/>
      <c r="D34" s="1"/>
    </row>
    <row r="35" spans="1:14" s="2" customFormat="1">
      <c r="A35" s="56"/>
      <c r="B35" s="53"/>
      <c r="C35" s="53"/>
      <c r="D35" s="374"/>
      <c r="E35" s="374"/>
      <c r="F35" s="374"/>
      <c r="G35" s="374"/>
      <c r="H35" s="374"/>
      <c r="I35" s="374"/>
      <c r="J35" s="374"/>
      <c r="K35" s="374"/>
      <c r="L35" s="374"/>
      <c r="M35" s="16"/>
      <c r="N35" s="16"/>
    </row>
    <row r="36" spans="1:14" ht="15.75">
      <c r="A36" s="52" t="s">
        <v>233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</row>
    <row r="37" spans="1:14">
      <c r="A37" s="18" t="s">
        <v>234</v>
      </c>
      <c r="B37" s="50" t="str">
        <f ca="1">IF(E37="Rads",B43,IF(OR(E37="Ribs",E37="Rib "),B42,"Error!"))</f>
        <v>Panel type</v>
      </c>
      <c r="C37" s="9"/>
      <c r="D37" s="7"/>
      <c r="E37" t="str">
        <f ca="1">LEFT(F37,4)</f>
        <v>Rads</v>
      </c>
      <c r="F37" s="4" t="str">
        <f ca="1">TRIM(P!D94)</f>
        <v>Rads - Weight.....:</v>
      </c>
    </row>
    <row r="38" spans="1:14">
      <c r="A38" s="18"/>
      <c r="B38" s="50" t="str">
        <f ca="1">IF(E38="Conservator",B41,IF(E38="0",B40,"Error!"))</f>
        <v>Conservator Type</v>
      </c>
      <c r="C38" s="9"/>
      <c r="D38" s="7"/>
      <c r="E38" t="str">
        <f ca="1">LEFT(F38,11)</f>
        <v>Conservator</v>
      </c>
      <c r="F38" s="4" t="str">
        <f ca="1">IF(LEN(P!D92)=0,0,TRIM(P!D92))</f>
        <v>Conservator Weight:</v>
      </c>
    </row>
    <row r="39" spans="1:14">
      <c r="A39" s="18"/>
      <c r="B39" s="50" t="str">
        <f>Techspecs!H44</f>
        <v>N</v>
      </c>
      <c r="C39" s="199" t="str">
        <f>Techspecs!H44</f>
        <v>N</v>
      </c>
      <c r="D39" s="7"/>
      <c r="F39" s="4"/>
    </row>
    <row r="40" spans="1:14">
      <c r="A40" s="8"/>
      <c r="B40" s="48" t="s">
        <v>235</v>
      </c>
      <c r="C40" s="9"/>
      <c r="D40" s="7"/>
      <c r="F40" s="4"/>
    </row>
    <row r="41" spans="1:14">
      <c r="A41" s="8"/>
      <c r="B41" s="48" t="s">
        <v>236</v>
      </c>
      <c r="C41" s="9"/>
      <c r="D41" s="7"/>
      <c r="F41" s="4"/>
    </row>
    <row r="42" spans="1:14">
      <c r="A42" s="8"/>
      <c r="B42" s="48" t="s">
        <v>237</v>
      </c>
      <c r="C42" s="9"/>
      <c r="D42" s="7"/>
      <c r="F42" s="4"/>
    </row>
    <row r="43" spans="1:14">
      <c r="A43" s="8"/>
      <c r="B43" s="48" t="s">
        <v>238</v>
      </c>
      <c r="C43" s="9"/>
      <c r="D43" s="7"/>
      <c r="F43" s="4"/>
    </row>
    <row r="44" spans="1:14">
      <c r="A44" s="8"/>
      <c r="B44" s="48" t="s">
        <v>239</v>
      </c>
      <c r="C44" s="198"/>
      <c r="D44" s="7"/>
      <c r="F44" s="4"/>
    </row>
    <row r="45" spans="1:14">
      <c r="A45" s="8"/>
      <c r="B45" s="48" t="s">
        <v>240</v>
      </c>
      <c r="C45" s="198"/>
      <c r="D45" s="7"/>
      <c r="F45" s="4"/>
    </row>
    <row r="46" spans="1:14">
      <c r="A46" s="18" t="s">
        <v>241</v>
      </c>
      <c r="B46" s="10">
        <f ca="1">VALUE(TRIM(MID(P!B18,Q!C46+1,Q!D46-Q!C46-1)))</f>
        <v>4000</v>
      </c>
      <c r="C46">
        <f ca="1">FIND("-",P!B18,1)</f>
        <v>3</v>
      </c>
      <c r="D46">
        <f ca="1">FIND("L",P!B18,1)</f>
        <v>13</v>
      </c>
      <c r="I46" s="280" t="s">
        <v>242</v>
      </c>
      <c r="J46" s="280" t="s">
        <v>243</v>
      </c>
      <c r="K46" s="280" t="s">
        <v>244</v>
      </c>
      <c r="L46" s="280" t="s">
        <v>245</v>
      </c>
      <c r="M46" s="280" t="s">
        <v>246</v>
      </c>
      <c r="N46" s="280" t="s">
        <v>247</v>
      </c>
    </row>
    <row r="47" spans="1:14">
      <c r="A47" s="18" t="s">
        <v>248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41" t="str">
        <f>LEFT('Bill of Materials'!C31,FIND("m",'Bill of Materials'!C31)-1)</f>
        <v xml:space="preserve">3 </v>
      </c>
      <c r="J47" s="241">
        <f>PI()*I47^2/4</f>
        <v>7.0685834705770345</v>
      </c>
      <c r="K47" s="241">
        <f ca="1">$B$53/J47</f>
        <v>5.7159967294977241</v>
      </c>
      <c r="L47" s="241">
        <f ca="1">$B$54/J47</f>
        <v>9.900427757739573</v>
      </c>
      <c r="M47" s="241">
        <f ca="1">IF(OR(B63=0,B64=0,B65=0),0,IF(K47=$K$50,VLOOKUP($B$46,$I$53:$J$64,2),0))</f>
        <v>0</v>
      </c>
      <c r="N47" s="241">
        <f ca="1">IF(OR(B63=0,B64=0,B65=0),0,IF(L47=$L$50,VLOOKUP($B$46,$I$53:$J$64,2)/3,0))</f>
        <v>0</v>
      </c>
    </row>
    <row r="48" spans="1:14">
      <c r="A48" s="18" t="s">
        <v>249</v>
      </c>
      <c r="B48" s="10">
        <f ca="1">VALUE(TRIM(MID(P!B20,Q!C48+1,Q!D48-Q!C48)))</f>
        <v>415</v>
      </c>
      <c r="C48">
        <f ca="1">FIND(":",P!B20,1)</f>
        <v>1</v>
      </c>
      <c r="D48">
        <f ca="1">LEN(P!B20)</f>
        <v>7</v>
      </c>
      <c r="I48" s="241" t="str">
        <f>LEFT('Bill of Materials'!C32,FIND("m",'Bill of Materials'!C32)-1)</f>
        <v xml:space="preserve">7/1.7 </v>
      </c>
      <c r="J48" s="241">
        <f>LEFT(I48,FIND("/",I48)-1)*PI()*RIGHT(I48,LEN(I48)-FIND("/",I48))^2/4</f>
        <v>15.888604845530377</v>
      </c>
      <c r="K48" s="241">
        <f ca="1">$B$53/J48</f>
        <v>2.542954550938187</v>
      </c>
      <c r="L48" s="241">
        <f ca="1">$B$54/J48</f>
        <v>4.4045402777882439</v>
      </c>
      <c r="M48" s="241">
        <f ca="1">IF(OR(B63=0,B64=0,B65=0),0,IF(K48=$K$50,VLOOKUP($B$46,$I$53:$J$64,2),0))</f>
        <v>13</v>
      </c>
      <c r="N48" s="241">
        <f ca="1">IF(OR(B63=0,B64=0,B65=0),0,IF(L48=$L$50,VLOOKUP($B$46,$I$53:$J$64,2)/3,0))</f>
        <v>0</v>
      </c>
    </row>
    <row r="49" spans="1:14" s="2" customFormat="1">
      <c r="A49" s="16" t="s">
        <v>250</v>
      </c>
      <c r="B49" s="376">
        <f ca="1">VALUE(RIGHT(E49,D49-C49))</f>
        <v>5564.8220000000001</v>
      </c>
      <c r="C49">
        <f ca="1">FIND("/",E49,1)</f>
        <v>8</v>
      </c>
      <c r="D49">
        <f ca="1">LEN(E49)</f>
        <v>16</v>
      </c>
      <c r="E49" s="16" t="str">
        <f ca="1">TRIM(P!H20)</f>
        <v>564.822/5564.822</v>
      </c>
      <c r="F49" s="16"/>
      <c r="G49" s="16">
        <v>1</v>
      </c>
      <c r="H49" s="16">
        <v>2</v>
      </c>
      <c r="I49" s="241" t="str">
        <f>LEFT('Bill of Materials'!C33,FIND("m",'Bill of Materials'!C33)-1)</f>
        <v xml:space="preserve">19/1.35 </v>
      </c>
      <c r="J49" s="241">
        <f>LEFT(I49,FIND("/",I49)-1)*PI()*RIGHT(I49,LEN(I49)-FIND("/",I49))^2/4</f>
        <v>27.196374903045143</v>
      </c>
      <c r="K49" s="241">
        <f ca="1">$B$53/J49</f>
        <v>1.4856391759578229</v>
      </c>
      <c r="L49" s="241">
        <f ca="1">$B$54/J49</f>
        <v>2.5732105933046321</v>
      </c>
      <c r="M49" s="241">
        <f ca="1">IF(OR(B63=0,B64=0,B65=0),0,IF(K49=$K$50,VLOOKUP($B$46,$I$53:$J$64,2),0))</f>
        <v>0</v>
      </c>
      <c r="N49" s="241">
        <f ca="1">IF(OR(B63=0,B64=0,B65=0),0,IF(L49=$L$50,VLOOKUP($B$46,$I$53:$J$64,2)/3,0))</f>
        <v>4.333333333333333</v>
      </c>
    </row>
    <row r="50" spans="1:14" s="2" customFormat="1">
      <c r="A50" s="16" t="s">
        <v>251</v>
      </c>
      <c r="B50" s="376">
        <f ca="1">IF(B76="yn",B49,IF(B76="nd",B49/1.732,B49))</f>
        <v>5564.8220000000001</v>
      </c>
      <c r="C50" s="16"/>
      <c r="D50" s="16"/>
      <c r="E50" s="16"/>
      <c r="F50" s="16"/>
      <c r="G50" s="16"/>
      <c r="H50" s="16"/>
      <c r="I50" s="280" t="s">
        <v>252</v>
      </c>
      <c r="J50" s="280"/>
      <c r="K50" s="280">
        <f ca="1">IF(ISERROR(IF(D65=0,0,SMALL(K47:K49,COUNTIF(K47:K49,"&lt;"&amp;3.5)))),0,IF(D65=0,0,SMALL(K47:K49,COUNTIF(K47:K49,"&lt;"&amp;3.5))))</f>
        <v>2.542954550938187</v>
      </c>
      <c r="L50" s="280">
        <f ca="1">IF(ISERROR(SMALL(L47:L49,COUNTIF(L47:L49,"&lt;"&amp;3.5))),0,SMALL(L47:L49,COUNTIF(L47:L49,"&lt;"&amp;3.5)))</f>
        <v>2.5732105933046321</v>
      </c>
      <c r="M50" s="17"/>
      <c r="N50" s="377"/>
    </row>
    <row r="51" spans="1:14" s="2" customFormat="1">
      <c r="A51" s="16" t="s">
        <v>253</v>
      </c>
      <c r="B51" s="376">
        <f ca="1">VALUE(LEFT(P!C43,C51-1))</f>
        <v>2.319</v>
      </c>
      <c r="C51" s="16">
        <f ca="1">FIND("A",P!C43,1)</f>
        <v>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>
      <c r="A52" t="str">
        <f ca="1">TRIM(P!B19)</f>
        <v>: 33000 + 2- 2x 2.</v>
      </c>
      <c r="B52" s="8"/>
      <c r="I52" s="280" t="s">
        <v>254</v>
      </c>
      <c r="J52" s="280" t="s">
        <v>255</v>
      </c>
      <c r="K52" s="280" t="s">
        <v>256</v>
      </c>
      <c r="M52" s="16"/>
    </row>
    <row r="53" spans="1:14">
      <c r="A53" s="16" t="s">
        <v>257</v>
      </c>
      <c r="B53">
        <f ca="1">VALUE(RIGHT(E53,C53-D53))</f>
        <v>40.404000000000003</v>
      </c>
      <c r="C53" s="16">
        <f ca="1">LEN(E53)</f>
        <v>14</v>
      </c>
      <c r="D53">
        <f ca="1">FIND(" ",E53,1)</f>
        <v>8</v>
      </c>
      <c r="E53" t="str">
        <f ca="1">TRIM(P!H19)</f>
        <v>69.982/ 40.404</v>
      </c>
      <c r="G53" s="16" t="s">
        <v>258</v>
      </c>
      <c r="H53">
        <f ca="1">IF(B46&lt;100,100,B46)</f>
        <v>4000</v>
      </c>
      <c r="I53" s="308">
        <v>100</v>
      </c>
      <c r="J53" s="308">
        <v>3</v>
      </c>
      <c r="K53" s="241">
        <v>0.5</v>
      </c>
    </row>
    <row r="54" spans="1:14">
      <c r="A54" s="16" t="s">
        <v>259</v>
      </c>
      <c r="B54">
        <f ca="1">VALUE(LEFT(E53,C53-D53))</f>
        <v>69.981999999999999</v>
      </c>
      <c r="C54" s="378"/>
      <c r="G54" t="s">
        <v>260</v>
      </c>
      <c r="H54" t="e">
        <f ca="1">VLOOKUP(H53,I53:J64,2,FALSE)</f>
        <v>#N/A</v>
      </c>
      <c r="I54" s="308">
        <v>160</v>
      </c>
      <c r="J54" s="308">
        <v>3</v>
      </c>
      <c r="K54" s="241">
        <v>0.5</v>
      </c>
    </row>
    <row r="55" spans="1:14">
      <c r="A55" s="16"/>
      <c r="C55" s="378"/>
      <c r="I55" s="308">
        <v>250</v>
      </c>
      <c r="J55" s="308">
        <v>4</v>
      </c>
      <c r="K55" s="241">
        <v>0.75</v>
      </c>
    </row>
    <row r="56" spans="1:14">
      <c r="A56" s="16" t="s">
        <v>261</v>
      </c>
      <c r="B56">
        <f ca="1">INT(VALUE(B47)/1000)</f>
        <v>33</v>
      </c>
      <c r="C56" s="378"/>
      <c r="I56" s="309">
        <v>400</v>
      </c>
      <c r="J56" s="309">
        <v>4</v>
      </c>
      <c r="K56" s="241">
        <v>1</v>
      </c>
    </row>
    <row r="57" spans="1:14">
      <c r="A57" s="16" t="s">
        <v>262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09">
        <v>630</v>
      </c>
      <c r="J57" s="309">
        <v>5</v>
      </c>
      <c r="K57" s="241">
        <v>1.5</v>
      </c>
    </row>
    <row r="58" spans="1:14">
      <c r="A58" s="1" t="s">
        <v>263</v>
      </c>
      <c r="B58" t="str">
        <f ca="1">LEFT(F58,Q!E58-1)</f>
        <v>7.26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7.26/0.85/0.38 %</v>
      </c>
      <c r="G58" t="s">
        <v>158</v>
      </c>
      <c r="I58" s="309">
        <v>800</v>
      </c>
      <c r="J58" s="309">
        <v>5</v>
      </c>
      <c r="K58" s="241">
        <v>2</v>
      </c>
    </row>
    <row r="59" spans="1:14">
      <c r="A59" s="1" t="s">
        <v>264</v>
      </c>
      <c r="B59" t="str">
        <f ca="1">MID(F58,Q!E58+1,Q!D58-Q!E58-1)</f>
        <v>0.85</v>
      </c>
      <c r="C59" s="378"/>
      <c r="I59" s="309">
        <v>1000</v>
      </c>
      <c r="J59" s="309">
        <v>6</v>
      </c>
      <c r="K59" s="241">
        <v>2.5</v>
      </c>
    </row>
    <row r="60" spans="1:14">
      <c r="A60" s="18" t="s">
        <v>265</v>
      </c>
      <c r="B60" s="18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10">
        <v>1250</v>
      </c>
      <c r="J60" s="310">
        <v>6</v>
      </c>
      <c r="K60" s="241">
        <v>3.5</v>
      </c>
    </row>
    <row r="61" spans="1:14">
      <c r="A61" s="18" t="s">
        <v>266</v>
      </c>
      <c r="B61" s="10">
        <f ca="1">IF(C61="ree", 3,IF(C61="gle", 1))</f>
        <v>3</v>
      </c>
      <c r="C61" s="4" t="str">
        <f ca="1">TRIM(LEFT(P!E18,Q!C60-1))</f>
        <v>ree</v>
      </c>
      <c r="I61" s="310">
        <v>1600</v>
      </c>
      <c r="J61" s="310">
        <v>7</v>
      </c>
      <c r="K61" s="241">
        <v>4.5</v>
      </c>
    </row>
    <row r="62" spans="1:14">
      <c r="A62" t="s">
        <v>267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10">
        <v>2000</v>
      </c>
      <c r="J62" s="310">
        <v>7</v>
      </c>
      <c r="K62" s="241">
        <v>5.5</v>
      </c>
    </row>
    <row r="63" spans="1:14">
      <c r="A63" t="s">
        <v>268</v>
      </c>
      <c r="B63">
        <f ca="1">IF(P!C19=0,0,VALUE(MID(P!B19,Q!C62+1,Q!D62-Q!C62-1)))</f>
        <v>2</v>
      </c>
      <c r="I63" s="310">
        <v>2500</v>
      </c>
      <c r="J63" s="310">
        <v>8</v>
      </c>
      <c r="K63" s="241">
        <v>6.5</v>
      </c>
    </row>
    <row r="64" spans="1:14">
      <c r="A64" t="s">
        <v>46</v>
      </c>
      <c r="B64">
        <f ca="1">IF(P!C19=0,0,0-C64)</f>
        <v>-2</v>
      </c>
      <c r="C64">
        <f ca="1">IF(P!C19=0,0,VALUE(LEFT(TRIM(RIGHT(P!B19,Q!E62-Q!D62)),1)))</f>
        <v>2</v>
      </c>
      <c r="I64" s="310">
        <v>3150</v>
      </c>
      <c r="J64" s="310">
        <v>13</v>
      </c>
      <c r="K64" s="241">
        <v>7.5</v>
      </c>
    </row>
    <row r="65" spans="1:4">
      <c r="A65" s="1" t="s">
        <v>269</v>
      </c>
      <c r="B65" s="16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>
      <c r="A66" s="18"/>
      <c r="B66" s="18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>
      <c r="A67" s="18"/>
      <c r="B67" s="18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>
      <c r="A68" s="18"/>
      <c r="B68" s="18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>
      <c r="A69" s="18"/>
      <c r="B69" s="18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>
      <c r="A70" s="18"/>
      <c r="B70" s="18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>
      <c r="A71" s="18"/>
      <c r="B71" s="18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>
      <c r="A72" s="18"/>
      <c r="B72" s="18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>
      <c r="A73" s="18"/>
      <c r="B73" s="18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>
      <c r="A74" s="18"/>
      <c r="B74" s="18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>
      <c r="A75" s="1" t="s">
        <v>270</v>
      </c>
    </row>
    <row r="76" spans="1:4">
      <c r="A76" t="s">
        <v>196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>
      <c r="A77" t="s">
        <v>197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>
      <c r="B78" t="str">
        <f ca="1">IF(B61=3,B77&amp;B76,"N/A")</f>
        <v>Dyn</v>
      </c>
    </row>
    <row r="79" spans="1:4">
      <c r="A79" s="18"/>
      <c r="B79" s="18" t="str">
        <f ca="1">IF(B78="Dyn","Dyn11",IF(B78="YNd","YNd1",IF(B78="YNyn","YNyn0",B78)))</f>
        <v>Dyn11</v>
      </c>
    </row>
    <row r="81" spans="1:15">
      <c r="A81" s="18" t="s">
        <v>271</v>
      </c>
      <c r="B81" s="18">
        <f ca="1">5*C81</f>
        <v>60</v>
      </c>
      <c r="C81">
        <f ca="1">ROUNDUP(D81/5,0)</f>
        <v>12</v>
      </c>
      <c r="D81">
        <f ca="1">MIN(VALUE(LEFT(P!C83,FIND(".",P!C83,1)-1)),60)</f>
        <v>60</v>
      </c>
    </row>
    <row r="82" spans="1:15">
      <c r="A82" s="18" t="s">
        <v>272</v>
      </c>
      <c r="B82" s="18">
        <f ca="1">5*C82</f>
        <v>55</v>
      </c>
      <c r="C82" s="16">
        <f ca="1">ROUNDUP(D82/5,0)</f>
        <v>11</v>
      </c>
      <c r="D82">
        <f ca="1">MIN(VALUE(LEFT(P!C84,FIND(".",P!C84,1)-1)),55)</f>
        <v>55</v>
      </c>
    </row>
    <row r="83" spans="1:15">
      <c r="A83" s="18" t="s">
        <v>273</v>
      </c>
      <c r="B83" s="18">
        <f ca="1">ROUNDUP(C83*100,2)+IF(RIGHT(A209,4)="Rect",-0.4,0)</f>
        <v>7.7</v>
      </c>
      <c r="C83" t="str">
        <f ca="1">OFFSET(P!D113,MATCH(D83,P!D114:D119, 0),1)</f>
        <v>7.692 %</v>
      </c>
      <c r="D83" t="s">
        <v>159</v>
      </c>
      <c r="F83">
        <f ca="1">VALUE(LEFT(C83,FIND("%",C83,1)))*100</f>
        <v>7.6920000000000002</v>
      </c>
      <c r="G83" t="e">
        <f ca="1">VALUE(LEFT(P!E117,FIND("%",P!E117,1)))*100</f>
        <v>#VALUE!</v>
      </c>
    </row>
    <row r="84" spans="1:15">
      <c r="A84" s="18" t="s">
        <v>274</v>
      </c>
      <c r="B84" s="18">
        <f ca="1">G84</f>
        <v>35800</v>
      </c>
      <c r="C84">
        <f>(1+B4/100)</f>
        <v>1.1000000000000001</v>
      </c>
      <c r="D84" s="9" t="str">
        <f ca="1">LEFT(P!E115,FIND("(",P!E115,1)-1)</f>
        <v xml:space="preserve">10273 </v>
      </c>
      <c r="G84">
        <f ca="1">VALUE(RIGHT(P!C85,LEN(P!C85)-SEARCH("/",P!C85)))</f>
        <v>35800</v>
      </c>
    </row>
    <row r="85" spans="1:15">
      <c r="A85" s="18" t="s">
        <v>275</v>
      </c>
      <c r="B85" s="18">
        <f ca="1">G85</f>
        <v>4570</v>
      </c>
      <c r="C85">
        <f>(1+B3/100)</f>
        <v>1.1000000000000001</v>
      </c>
      <c r="D85" s="9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4570</v>
      </c>
      <c r="H85" s="16"/>
      <c r="J85">
        <f ca="1">SQRT(F83*F83-K85*K85)</f>
        <v>7.6877112926653925</v>
      </c>
      <c r="K85">
        <f ca="1">D84*100/(A91*1000)</f>
        <v>0.25682500000000003</v>
      </c>
    </row>
    <row r="86" spans="1:15">
      <c r="A86" s="18" t="s">
        <v>276</v>
      </c>
      <c r="B86" s="200" t="str">
        <f ca="1">P!C29</f>
        <v>0.3902</v>
      </c>
    </row>
    <row r="87" spans="1:15">
      <c r="A87" s="18" t="s">
        <v>277</v>
      </c>
      <c r="B87" s="18">
        <f ca="1">ROUNDUP(LEFT(P!C30,FIND("db",P!C30,1)-1),0)</f>
        <v>59</v>
      </c>
    </row>
    <row r="88" spans="1:15" s="2" customFormat="1">
      <c r="A88" s="16" t="s">
        <v>278</v>
      </c>
      <c r="B88" s="16">
        <f ca="1">VALUE(MID(P!E124,Q!D88+1,Q!C88-Q!D88-1))</f>
        <v>1</v>
      </c>
      <c r="C88" s="16">
        <f ca="1">FIND("B",P!E124,1)</f>
        <v>16</v>
      </c>
      <c r="D88" s="16">
        <f ca="1">FIND("=",P!E124,1)</f>
        <v>8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>
      <c r="A89" s="16" t="s">
        <v>279</v>
      </c>
      <c r="B89" s="379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>
      <c r="A90" s="159" t="s">
        <v>241</v>
      </c>
      <c r="B90" s="159" t="s">
        <v>280</v>
      </c>
      <c r="C90" s="159" t="s">
        <v>281</v>
      </c>
      <c r="D90" s="159" t="s">
        <v>282</v>
      </c>
      <c r="E90" s="159" t="s">
        <v>283</v>
      </c>
      <c r="F90" s="159" t="s">
        <v>284</v>
      </c>
      <c r="G90" s="159" t="s">
        <v>285</v>
      </c>
      <c r="H90" s="159" t="s">
        <v>286</v>
      </c>
      <c r="I90" s="159" t="s">
        <v>287</v>
      </c>
      <c r="J90" s="159" t="s">
        <v>263</v>
      </c>
      <c r="K90" s="159" t="s">
        <v>264</v>
      </c>
      <c r="L90" s="159" t="s">
        <v>288</v>
      </c>
      <c r="M90" s="160" t="s">
        <v>289</v>
      </c>
      <c r="N90" s="160" t="s">
        <v>290</v>
      </c>
      <c r="O90" s="159"/>
    </row>
    <row r="91" spans="1:15">
      <c r="A91" s="17">
        <f ca="1">B46</f>
        <v>4000</v>
      </c>
      <c r="B91" s="161">
        <f ca="1">B83</f>
        <v>7.7</v>
      </c>
      <c r="C91" s="17">
        <f ca="1">B91*F91</f>
        <v>7.7</v>
      </c>
      <c r="D91" s="17">
        <f ca="1">B84</f>
        <v>35800</v>
      </c>
      <c r="E91" s="17">
        <f ca="1">B85</f>
        <v>4570</v>
      </c>
      <c r="F91">
        <v>1</v>
      </c>
      <c r="G91" s="17">
        <v>0.8</v>
      </c>
      <c r="H91">
        <f>ACOS(G91)</f>
        <v>0.64350110879328426</v>
      </c>
      <c r="I91">
        <f>SIN(H91)</f>
        <v>0.59999999999999987</v>
      </c>
      <c r="J91" s="17">
        <f ca="1">F91*SQRT(C91*C91-K91*K91)</f>
        <v>7.6478085096320241</v>
      </c>
      <c r="K91" s="17">
        <f ca="1">F91*D91*100/(A91*1000)</f>
        <v>0.89500000000000002</v>
      </c>
      <c r="L91" s="17">
        <f ca="1">E91*100/(A91*1000*F91)</f>
        <v>0.11425</v>
      </c>
      <c r="M91" s="162">
        <f ca="1">(1-(L91+K91)/(G91*100+L91+K91))*100</f>
        <v>98.754154618145463</v>
      </c>
      <c r="N91" s="163">
        <f ca="1">K91*G91+J91*I91+POWER((J91*G91-K91*I91),2)/200</f>
        <v>5.4604366854218345</v>
      </c>
      <c r="O91" s="17"/>
    </row>
    <row r="92" spans="1:15" ht="15.75">
      <c r="A92" s="52" t="s">
        <v>291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287"/>
      <c r="M92" s="288"/>
      <c r="N92" s="288"/>
    </row>
    <row r="93" spans="1:15">
      <c r="A93" s="19" t="s">
        <v>292</v>
      </c>
      <c r="B93" s="35"/>
      <c r="C93" s="26"/>
      <c r="D93" s="26"/>
      <c r="E93" s="26"/>
      <c r="F93" s="26"/>
      <c r="G93" s="26"/>
      <c r="H93" s="26"/>
      <c r="I93" s="26"/>
    </row>
    <row r="94" spans="1:15">
      <c r="A94" s="16" t="s">
        <v>293</v>
      </c>
      <c r="B94" s="4">
        <f ca="1">MROUND(VALUE(LEFT(P!H97,Q!D94-1)),1)</f>
        <v>2093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>
      <c r="A95" s="16" t="s">
        <v>294</v>
      </c>
      <c r="B95" s="4">
        <f ca="1">MROUND(VALUE(MID(P!H97,Q!D94+1,Q!C94-Q!D94-1)),1)</f>
        <v>936</v>
      </c>
    </row>
    <row r="96" spans="1:15">
      <c r="A96" s="16" t="s">
        <v>295</v>
      </c>
      <c r="B96" s="4">
        <f ca="1">MROUND(VALUE(RIGHT(P!H97,Q!E94-Q!C94)),1)</f>
        <v>1811</v>
      </c>
    </row>
    <row r="97" spans="1:9">
      <c r="A97" s="302" t="s">
        <v>296</v>
      </c>
      <c r="B97" s="303"/>
      <c r="C97" s="302" t="s">
        <v>297</v>
      </c>
      <c r="D97" s="26"/>
      <c r="E97" s="26"/>
      <c r="F97" s="26"/>
      <c r="G97" s="26"/>
      <c r="H97" s="26"/>
      <c r="I97" s="26"/>
    </row>
    <row r="98" spans="1:9">
      <c r="A98" s="276" t="s">
        <v>298</v>
      </c>
      <c r="B98" s="236">
        <f ca="1">IF(B38=B41,IF(B46&lt;3150,340,IF(B46&lt;5000,780,900)),0)</f>
        <v>780</v>
      </c>
      <c r="C98" s="276">
        <f ca="1">IF(B38=B41,IF(B46&lt;3150,13,IF(B46&lt;5000,109,196)),0)</f>
        <v>109</v>
      </c>
    </row>
    <row r="99" spans="1:9">
      <c r="A99" s="276" t="s">
        <v>299</v>
      </c>
      <c r="B99" s="236">
        <f>IF(Techspecs!H43="Y",VLOOKUP(1,H387:M388,5)+290,0)</f>
        <v>0</v>
      </c>
      <c r="C99" s="276">
        <f>IF(Techspecs!H43="Y",VLOOKUP(1,H387:M388,6),0)</f>
        <v>0</v>
      </c>
    </row>
    <row r="100" spans="1:9">
      <c r="A100" s="276" t="s">
        <v>300</v>
      </c>
      <c r="B100" s="236">
        <f>IF(Techspecs!C56="Y",290,0)</f>
        <v>290</v>
      </c>
      <c r="C100" s="276">
        <f>IF(Techspecs!C56="Y",5,0)</f>
        <v>5</v>
      </c>
    </row>
    <row r="101" spans="1:9">
      <c r="A101" s="276" t="str">
        <f>B311</f>
        <v>10 NF 250 CD = 372 mm P-4 EN</v>
      </c>
      <c r="B101" s="236">
        <f>E311</f>
        <v>310</v>
      </c>
      <c r="C101" s="218">
        <f ca="1">G311*F311</f>
        <v>16.950000000000003</v>
      </c>
    </row>
    <row r="102" spans="1:9">
      <c r="A102" s="276" t="e">
        <f ca="1">B330</f>
        <v>#N/A</v>
      </c>
      <c r="B102" s="236" t="e">
        <f ca="1">D330</f>
        <v>#N/A</v>
      </c>
      <c r="C102" s="218" t="e">
        <f ca="1">E330*F330</f>
        <v>#N/A</v>
      </c>
    </row>
    <row r="103" spans="1:9">
      <c r="A103" s="276" t="s">
        <v>301</v>
      </c>
      <c r="B103" s="236">
        <f>IF(Techspecs!H44="Y",VLOOKUP(1,H391:M398,5),0)</f>
        <v>0</v>
      </c>
      <c r="C103" s="218">
        <f>IF(Techspecs!H44="Y",VLOOKUP(1,H391:M398,6),0)</f>
        <v>0</v>
      </c>
    </row>
    <row r="104" spans="1:9">
      <c r="A104" s="304" t="s">
        <v>302</v>
      </c>
      <c r="B104" s="236">
        <f ca="1">ROUND(C272+10,-1)</f>
        <v>210</v>
      </c>
      <c r="C104" s="218">
        <f ca="1">M259</f>
        <v>99.324856799999992</v>
      </c>
    </row>
    <row r="105" spans="1:9">
      <c r="A105" s="19" t="s">
        <v>303</v>
      </c>
      <c r="B105" s="35"/>
      <c r="C105" s="26"/>
      <c r="D105" s="26"/>
      <c r="E105" s="26"/>
      <c r="F105" s="26"/>
      <c r="G105" s="26"/>
      <c r="H105" s="26"/>
      <c r="I105" s="26"/>
    </row>
    <row r="106" spans="1:9">
      <c r="A106" s="37" t="s">
        <v>304</v>
      </c>
      <c r="B106" s="38">
        <v>4</v>
      </c>
      <c r="C106" s="39"/>
      <c r="D106" s="39"/>
      <c r="E106" s="39"/>
      <c r="F106" s="39"/>
      <c r="G106" s="39"/>
      <c r="H106" s="39"/>
      <c r="I106" s="39"/>
    </row>
    <row r="107" spans="1:9">
      <c r="A107" s="276" t="s">
        <v>305</v>
      </c>
      <c r="B107" s="236">
        <f>IF(Techspecs!H44="Y",VLOOKUP(1,H391:M398,3),0)</f>
        <v>0</v>
      </c>
      <c r="E107" s="218" t="s">
        <v>306</v>
      </c>
      <c r="F107" s="218">
        <f ca="1">IF(B38=B41,IF(B46&lt;3150,185,IF(B46&lt;5000,685,860)),0)</f>
        <v>685</v>
      </c>
    </row>
    <row r="108" spans="1:9">
      <c r="A108" s="276" t="s">
        <v>307</v>
      </c>
      <c r="B108" s="236">
        <f>IF(Techspecs!H44="Y",VLOOKUP(1,H391:M398,4),0)</f>
        <v>0</v>
      </c>
      <c r="E108" s="218" t="s">
        <v>308</v>
      </c>
      <c r="F108" s="218">
        <f ca="1">IF(B37=B43,VLOOKUP(B280,A290:G297,6,FALSE),0)</f>
        <v>650</v>
      </c>
    </row>
    <row r="109" spans="1:9">
      <c r="A109" s="276" t="s">
        <v>309</v>
      </c>
      <c r="B109" s="236">
        <f>IF(Techspecs!H43="Y",VLOOKUP(1,H387:M388,3),0)</f>
        <v>0</v>
      </c>
      <c r="E109" s="218" t="s">
        <v>310</v>
      </c>
      <c r="F109" s="218">
        <f ca="1">IF(B37=B43,VLOOKUP(B280,A290:G297,7,FALSE),0)</f>
        <v>1300</v>
      </c>
    </row>
    <row r="110" spans="1:9">
      <c r="A110" s="276" t="s">
        <v>311</v>
      </c>
      <c r="B110" s="236">
        <f>IF(Techspecs!H43="Y",VLOOKUP(1,H387:M388,4),0)</f>
        <v>0</v>
      </c>
    </row>
    <row r="111" spans="1:9">
      <c r="A111" s="276" t="s">
        <v>312</v>
      </c>
      <c r="B111" s="236">
        <f>IF(Techspecs!C61="Y",Q!J400,0)</f>
        <v>0</v>
      </c>
    </row>
    <row r="112" spans="1:9">
      <c r="A112" s="9"/>
      <c r="B112" s="4"/>
    </row>
    <row r="113" spans="1:15">
      <c r="A113" s="280"/>
      <c r="B113" s="241"/>
      <c r="C113" s="281" t="s">
        <v>313</v>
      </c>
      <c r="D113" s="241"/>
    </row>
    <row r="114" spans="1:15">
      <c r="A114" s="304" t="s">
        <v>314</v>
      </c>
      <c r="B114" s="281">
        <f ca="1">C114+D114</f>
        <v>3448</v>
      </c>
      <c r="C114" s="241">
        <v>20</v>
      </c>
      <c r="D114" s="280">
        <f ca="1">IF(B38&lt;&gt;B40,B94+F107+F108+B111,B94+2*B300+B111)</f>
        <v>3428</v>
      </c>
    </row>
    <row r="115" spans="1:15">
      <c r="A115" s="304" t="s">
        <v>315</v>
      </c>
      <c r="B115" s="281">
        <f ca="1">C115+D115</f>
        <v>2256</v>
      </c>
      <c r="C115" s="241">
        <v>20</v>
      </c>
      <c r="D115" s="280">
        <f ca="1">IF(B38&lt;&gt;B40,B95+F109+B107+B109,MAX(B95+2*B299,B95+B107+B109))</f>
        <v>2236</v>
      </c>
    </row>
    <row r="116" spans="1:15">
      <c r="A116" s="304" t="s">
        <v>316</v>
      </c>
      <c r="B116" s="281" t="e">
        <f ca="1">C116+D116</f>
        <v>#N/A</v>
      </c>
      <c r="C116" s="241">
        <v>20</v>
      </c>
      <c r="D116" s="280" t="e">
        <f ca="1">Q!B96+MAX(B98:B103)+Q!B104</f>
        <v>#N/A</v>
      </c>
      <c r="O116" s="17"/>
    </row>
    <row r="117" spans="1:15">
      <c r="A117" s="305" t="s">
        <v>317</v>
      </c>
      <c r="B117" s="281" t="e">
        <f ca="1">ROUNDUP(C117+D117,-1)</f>
        <v>#N/A</v>
      </c>
      <c r="C117" s="241">
        <v>50</v>
      </c>
      <c r="D117" s="241" t="e">
        <f ca="1">ROUND(VALUE(LEFT(P!C97,FIND("k",P!C97,1)-1))+SUM(C98:C104),0)</f>
        <v>#N/A</v>
      </c>
      <c r="O117" s="17"/>
    </row>
    <row r="118" spans="1:15">
      <c r="A118" s="305" t="s">
        <v>318</v>
      </c>
      <c r="B118" s="281">
        <f ca="1">ROUNDUP(C118+D118,-1)</f>
        <v>2830</v>
      </c>
      <c r="C118" s="241"/>
      <c r="D118" s="241">
        <f ca="1">ROUNDUP(LEFT(P!C94,FIND("k",P!C94,1)-1),-1)</f>
        <v>2830</v>
      </c>
      <c r="O118" s="17"/>
    </row>
    <row r="119" spans="1:15">
      <c r="A119" s="305" t="s">
        <v>319</v>
      </c>
      <c r="B119" s="281">
        <f ca="1">ROUNDUP(C119+D119,-1)</f>
        <v>6310</v>
      </c>
      <c r="C119" s="241"/>
      <c r="D119" s="241">
        <f ca="1">VALUE(LEFT(P!C92,FIND("k",P!C92,1)-1))</f>
        <v>6310</v>
      </c>
      <c r="O119" s="17"/>
    </row>
    <row r="120" spans="1:15">
      <c r="A120" s="305" t="s">
        <v>320</v>
      </c>
      <c r="B120" s="281">
        <f ca="1">ROUNDUP(C120+D120,-1)</f>
        <v>6550</v>
      </c>
      <c r="C120" s="241">
        <v>50</v>
      </c>
      <c r="D120" s="241">
        <f ca="1">ROUND(D119+M258,0)</f>
        <v>6491</v>
      </c>
      <c r="O120" s="17"/>
    </row>
    <row r="121" spans="1:15">
      <c r="A121" s="8"/>
      <c r="B121" s="1"/>
      <c r="D121" s="4"/>
      <c r="O121" s="17"/>
    </row>
    <row r="122" spans="1:15" s="1" customFormat="1">
      <c r="A122" s="19" t="s">
        <v>321</v>
      </c>
      <c r="B122" s="19"/>
      <c r="C122" s="36" t="s">
        <v>322</v>
      </c>
      <c r="D122" s="36"/>
      <c r="E122" s="19"/>
      <c r="F122" s="19" t="s">
        <v>323</v>
      </c>
      <c r="G122" s="19"/>
      <c r="H122" s="19"/>
      <c r="I122" s="19"/>
    </row>
    <row r="123" spans="1:15">
      <c r="A123" s="16" t="s">
        <v>314</v>
      </c>
      <c r="C123" s="4">
        <v>12045</v>
      </c>
      <c r="F123">
        <v>5919</v>
      </c>
    </row>
    <row r="124" spans="1:15">
      <c r="A124" s="16" t="s">
        <v>315</v>
      </c>
      <c r="C124" s="4">
        <v>2280</v>
      </c>
      <c r="F124">
        <v>2286</v>
      </c>
    </row>
    <row r="125" spans="1:15">
      <c r="A125" s="16" t="s">
        <v>324</v>
      </c>
      <c r="B125">
        <v>100</v>
      </c>
      <c r="C125" s="4">
        <v>27396</v>
      </c>
      <c r="F125">
        <v>22100</v>
      </c>
    </row>
    <row r="126" spans="1:15">
      <c r="A126" s="16" t="s">
        <v>325</v>
      </c>
      <c r="B126" s="4"/>
      <c r="C126">
        <f ca="1">ROUNDDOWN(C123/(B114+B123),0)</f>
        <v>3</v>
      </c>
      <c r="D126">
        <f ca="1">ROUNDDOWN(C124/(B115+B124),0)</f>
        <v>1</v>
      </c>
      <c r="E126" s="4"/>
      <c r="F126">
        <f ca="1">ROUNDDOWN(F123/(B114+B123),0)</f>
        <v>1</v>
      </c>
      <c r="G126">
        <f ca="1">ROUNDDOWN(F124/(B115+B124),0)</f>
        <v>1</v>
      </c>
    </row>
    <row r="127" spans="1:15">
      <c r="A127" s="16" t="s">
        <v>326</v>
      </c>
      <c r="B127" s="4"/>
      <c r="C127">
        <f ca="1">ROUNDDOWN(C123/(B115+B124),0)</f>
        <v>5</v>
      </c>
      <c r="D127">
        <f ca="1">ROUNDDOWN(C124/(B114+B123),0)</f>
        <v>0</v>
      </c>
      <c r="E127" s="4"/>
      <c r="F127">
        <f ca="1">ROUNDDOWN(F123/(B115+B124),0)</f>
        <v>2</v>
      </c>
      <c r="G127">
        <f ca="1">ROUNDDOWN(F124/(B123+B114),0)</f>
        <v>0</v>
      </c>
    </row>
    <row r="128" spans="1:15">
      <c r="A128" s="16" t="s">
        <v>324</v>
      </c>
      <c r="B128" s="36" t="e">
        <f ca="1">MIN(C128,MAX(C126*D126,C127*D127))</f>
        <v>#N/A</v>
      </c>
      <c r="C128" t="e">
        <f ca="1">ROUNDDOWN(C125/(B117+B125),0)</f>
        <v>#N/A</v>
      </c>
      <c r="E128" s="36" t="e">
        <f ca="1">MIN(F128,MAX(F126*G126,F127*G127))</f>
        <v>#N/A</v>
      </c>
      <c r="F128" t="e">
        <f ca="1">ROUNDDOWN(F125/(B117+B125),0)</f>
        <v>#N/A</v>
      </c>
    </row>
    <row r="129" spans="1:12">
      <c r="A129" s="16"/>
      <c r="B129" s="4"/>
    </row>
    <row r="130" spans="1:12" ht="15.75">
      <c r="A130" s="52" t="s">
        <v>327</v>
      </c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</row>
    <row r="131" spans="1:12">
      <c r="A131" s="19"/>
      <c r="B131" s="35"/>
      <c r="C131" s="26"/>
      <c r="D131" s="26"/>
      <c r="E131" s="26"/>
      <c r="F131" s="26"/>
      <c r="G131" s="26"/>
      <c r="H131" s="26"/>
      <c r="I131" s="26"/>
    </row>
    <row r="132" spans="1:12">
      <c r="A132" s="16" t="s">
        <v>328</v>
      </c>
      <c r="B132" s="4" t="str">
        <f ca="1">RIGHT(E132,LEN(E132)-FIND(":",E132)-1)</f>
        <v>400033415</v>
      </c>
      <c r="E132" t="str">
        <f ca="1">TRIM(P!B17)</f>
        <v>DER : 400033415</v>
      </c>
    </row>
    <row r="133" spans="1:12">
      <c r="A133" s="16" t="s">
        <v>329</v>
      </c>
      <c r="B133" s="4" t="str">
        <f ca="1">RIGHT(I133,LEN(I133)-I134)</f>
        <v xml:space="preserve"> 2023.06.14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10:10:52</v>
      </c>
      <c r="F133" t="s">
        <v>1</v>
      </c>
      <c r="I133" t="str">
        <f ca="1">OFFSET(P!D13,MATCH(Q!F133,P!D14:D22, 0),-2)</f>
        <v>TE: 2023.06.14</v>
      </c>
    </row>
    <row r="134" spans="1:12">
      <c r="A134" s="16" t="s">
        <v>330</v>
      </c>
      <c r="B134" s="4" t="str">
        <f ca="1">RIGHT(E133,LEN(E133)-C133)</f>
        <v xml:space="preserve"> 10:10:52</v>
      </c>
      <c r="I134">
        <f ca="1">FIND(":",I133,1)</f>
        <v>3</v>
      </c>
    </row>
    <row r="135" spans="1:12">
      <c r="A135" s="16" t="s">
        <v>331</v>
      </c>
      <c r="B135" s="4" t="str">
        <f ca="1">IF(P!F17=0," ",P!F17)</f>
        <v>PS Tansania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>
      <c r="A136" s="16"/>
      <c r="B136" s="4"/>
    </row>
    <row r="137" spans="1:12">
      <c r="A137" s="36"/>
      <c r="B137" s="19"/>
      <c r="C137" s="26"/>
      <c r="D137" s="35"/>
      <c r="E137" s="26"/>
      <c r="F137" s="26"/>
      <c r="G137" s="26"/>
      <c r="H137" s="26"/>
      <c r="I137" s="26"/>
      <c r="J137" s="26"/>
      <c r="K137" s="26"/>
      <c r="L137" s="26"/>
    </row>
    <row r="138" spans="1:12">
      <c r="A138" s="54"/>
      <c r="B138" s="55"/>
      <c r="C138" s="56"/>
      <c r="D138" s="53"/>
      <c r="E138" s="57"/>
      <c r="F138" s="58"/>
      <c r="G138" s="57"/>
      <c r="H138" s="57"/>
      <c r="I138" s="57"/>
      <c r="J138" s="57"/>
      <c r="K138" s="57"/>
      <c r="L138" s="57"/>
    </row>
    <row r="139" spans="1:12" ht="15.75">
      <c r="A139" s="52" t="s">
        <v>332</v>
      </c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</row>
    <row r="140" spans="1:12">
      <c r="A140" s="1" t="s">
        <v>333</v>
      </c>
      <c r="B140" s="1" t="str">
        <f ca="1">LEFT(P!E41,FIND(".",P!E41,1)-1)</f>
        <v>840</v>
      </c>
      <c r="C140" s="1">
        <f ca="1">IF(H140=2,(B140-20-4)/2,B140-2)</f>
        <v>838</v>
      </c>
      <c r="D140" s="7" t="str">
        <f ca="1">LEFT(P!H57,FIND(".",P!E41,1)-1)</f>
        <v>750</v>
      </c>
      <c r="E140">
        <f ca="1">VALUE(RIGHT(P!H57,LEN(P!H57)-(FIND("/",P!H57))))</f>
        <v>735.6</v>
      </c>
      <c r="F140" t="str">
        <f ca="1">LEFT(P!H41,FIND(".",P!H41,1)-1)</f>
        <v>800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>
      <c r="A141" s="1" t="s">
        <v>334</v>
      </c>
      <c r="B141" s="8">
        <f ca="1">ROUNDUP(VALUE(C141),0)</f>
        <v>890</v>
      </c>
      <c r="C141" s="16" t="str">
        <f ca="1">LEFT(P!E26,Q!D141-1)</f>
        <v xml:space="preserve">890.000 </v>
      </c>
      <c r="D141">
        <f ca="1">FIND("m",P!E26,1)</f>
        <v>9</v>
      </c>
    </row>
    <row r="142" spans="1:12">
      <c r="A142" s="1" t="s">
        <v>335</v>
      </c>
      <c r="B142" s="8">
        <f ca="1">ROUND(VALUE(C142)+0.35,0)</f>
        <v>656</v>
      </c>
      <c r="C142" s="16" t="str">
        <f ca="1">LEFT(P!E27,Q!D142-1)</f>
        <v xml:space="preserve">655.421 </v>
      </c>
      <c r="D142">
        <f ca="1">FIND("m",P!E27,1)</f>
        <v>9</v>
      </c>
    </row>
    <row r="143" spans="1:12">
      <c r="A143" s="1" t="s">
        <v>336</v>
      </c>
      <c r="B143" s="1" t="str">
        <f ca="1">TRIM(LEFT(P!C22,FIND("M",P!C25,1)-1))</f>
        <v>OVAL</v>
      </c>
    </row>
    <row r="144" spans="1:12">
      <c r="A144" s="1" t="s">
        <v>337</v>
      </c>
      <c r="B144" s="8">
        <f ca="1">VALUE(LEFT(P!H74,FIND(".",P!H74,1)-1))</f>
        <v>280</v>
      </c>
      <c r="C144" s="16" t="str">
        <f ca="1">RIGHT(P!H74,FIND("/",P!H74,1))</f>
        <v>41.00 mm</v>
      </c>
      <c r="D144" t="str">
        <f ca="1">LEFT(C144,FIND("m",C144,1)-5)</f>
        <v>41</v>
      </c>
      <c r="E144" t="str">
        <f ca="1">RIGHT(P!H74,LEN(P!H74)-FIND("m",P!H74,1)-1)</f>
        <v/>
      </c>
    </row>
    <row r="145" spans="1:12">
      <c r="A145" s="1" t="s">
        <v>338</v>
      </c>
      <c r="B145" s="8">
        <f ca="1">VALUE(IF(LEFT(P!D44,5)="Inner",IF(OR(A206=B200,A206=B201),LEFT(P!E50,FIND(" ",P!E50,1)-1),IF(A206="CU-layer-rect",LEFT(P!E50,FIND("/",P!E50,1)-1))),LEFT(P!E49,FIND("/",P!E49,1)-1)))</f>
        <v>0.4</v>
      </c>
      <c r="C145" s="1"/>
      <c r="D145" s="1"/>
    </row>
    <row r="146" spans="1:12">
      <c r="A146" s="1"/>
      <c r="B146" s="8"/>
      <c r="C146" s="1"/>
      <c r="D146" s="1"/>
    </row>
    <row r="147" spans="1:12" ht="15.75">
      <c r="A147" s="52" t="s">
        <v>339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</row>
    <row r="148" spans="1:12">
      <c r="A148" s="1" t="s">
        <v>338</v>
      </c>
      <c r="B148" s="1">
        <f ca="1">IF(C148&lt;=0.25,0.15,MROUND(C148,0.05))</f>
        <v>0.15</v>
      </c>
      <c r="C148" s="376">
        <f ca="1">VALUE(IF(A206=B202,E148,F148))</f>
        <v>0.18</v>
      </c>
      <c r="D148" s="1">
        <f ca="1">VALUE(IF(LEFT(P!D44,5)="Inner",LEFT(P!H45,FIND("/",P!H45,1)-1),LEFT(P!H44,FIND("/",P!H44,1)-1)))</f>
        <v>10.31</v>
      </c>
      <c r="E148" s="379" t="str">
        <f ca="1">LEFT(P!E49,FIND("/",P!E49,1)-1)</f>
        <v xml:space="preserve">100.000 </v>
      </c>
      <c r="F148" s="16">
        <v>0.18</v>
      </c>
    </row>
    <row r="149" spans="1:12">
      <c r="A149" t="str">
        <f ca="1">C140&amp;"mm x 0.15 DDP DL"</f>
        <v>838mm x 0.15 DDP DL</v>
      </c>
      <c r="B149" s="4">
        <f ca="1">D148*C149*(1+B22/100)</f>
        <v>10.31</v>
      </c>
      <c r="C149">
        <f ca="1">IF(A206=B202,0,IF(OR(C148=F151,C148=F153),1,0))</f>
        <v>1</v>
      </c>
      <c r="E149" s="1"/>
      <c r="F149" s="380"/>
      <c r="G149" s="380" t="s">
        <v>340</v>
      </c>
      <c r="H149" s="380" t="s">
        <v>341</v>
      </c>
      <c r="I149" s="380" t="s">
        <v>340</v>
      </c>
      <c r="J149" s="380" t="s">
        <v>341</v>
      </c>
      <c r="K149" s="105"/>
      <c r="L149" s="105"/>
    </row>
    <row r="150" spans="1:12">
      <c r="A150" t="str">
        <f ca="1">C140&amp;"mm x 0.15 DDP SL"</f>
        <v>838mm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380">
        <v>0.15</v>
      </c>
      <c r="G150" s="380">
        <v>1</v>
      </c>
      <c r="H150" s="380"/>
      <c r="I150" s="380">
        <v>1</v>
      </c>
      <c r="J150" s="380"/>
      <c r="K150" s="105"/>
      <c r="L150" s="105"/>
    </row>
    <row r="151" spans="1:12">
      <c r="A151" t="str">
        <f ca="1">C140&amp;"mm x 0.25 DDP SL"</f>
        <v>838mm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304">
        <v>0.18</v>
      </c>
      <c r="G151" s="381">
        <v>1</v>
      </c>
      <c r="H151" s="381"/>
      <c r="I151" s="218">
        <v>1</v>
      </c>
      <c r="J151" s="307"/>
      <c r="K151" s="105"/>
      <c r="L151" s="376"/>
    </row>
    <row r="152" spans="1:12">
      <c r="D152" s="105"/>
      <c r="E152" s="1"/>
      <c r="F152" s="304">
        <v>0.25</v>
      </c>
      <c r="G152" s="381">
        <v>1</v>
      </c>
      <c r="H152" s="381"/>
      <c r="I152" s="218">
        <v>1</v>
      </c>
      <c r="J152" s="307"/>
      <c r="K152" s="105"/>
      <c r="L152" s="376"/>
    </row>
    <row r="153" spans="1:12" ht="15.75">
      <c r="A153" s="106"/>
      <c r="B153" s="105"/>
      <c r="C153" s="105"/>
      <c r="D153" s="105"/>
      <c r="E153" s="1"/>
      <c r="F153" s="304">
        <v>0.3</v>
      </c>
      <c r="G153" s="381">
        <v>1</v>
      </c>
      <c r="H153" s="381"/>
      <c r="I153" s="218">
        <v>2</v>
      </c>
      <c r="J153" s="307"/>
      <c r="K153" s="105"/>
      <c r="L153" s="376"/>
    </row>
    <row r="154" spans="1:12">
      <c r="A154" s="1" t="s">
        <v>342</v>
      </c>
      <c r="B154" s="238">
        <f ca="1">IF(C154&lt;=0.25,"0.25",MROUND(C154,0.05))</f>
        <v>0.65</v>
      </c>
      <c r="C154" s="382">
        <f ca="1">VALUE(LEFT(P!E62,FIND("/",P!E62,1)-1))</f>
        <v>0.65</v>
      </c>
      <c r="D154" s="1" t="str">
        <f ca="1">LEFT(P!H61,FIND("/",P!H61,1)-1)</f>
        <v>67.95</v>
      </c>
      <c r="E154" s="1"/>
      <c r="F154" s="304">
        <v>0.35</v>
      </c>
      <c r="G154" s="381"/>
      <c r="H154" s="381">
        <v>1</v>
      </c>
      <c r="I154" s="218"/>
      <c r="J154" s="307">
        <v>1</v>
      </c>
      <c r="K154" s="105"/>
      <c r="L154" s="376"/>
    </row>
    <row r="155" spans="1:12">
      <c r="A155" t="str">
        <f ca="1">C140&amp;"mm x 0.15 DDP SL"</f>
        <v>838mm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05">
        <f ca="1">VALUE(LEFT(P!E62,FIND("/",P!E62)-1))</f>
        <v>0.65</v>
      </c>
      <c r="F155" s="236">
        <v>0.4</v>
      </c>
      <c r="G155" s="237">
        <v>0.5</v>
      </c>
      <c r="H155" s="237">
        <v>0.5</v>
      </c>
      <c r="I155" s="218">
        <v>1</v>
      </c>
      <c r="J155" s="307">
        <v>1</v>
      </c>
      <c r="K155" s="105"/>
      <c r="L155" s="4"/>
    </row>
    <row r="156" spans="1:12">
      <c r="A156" t="str">
        <f ca="1">C140&amp;"mm x 0.25 DDP SL"</f>
        <v>838mm x 0.25 DDP SL</v>
      </c>
      <c r="B156" s="4">
        <f ca="1">IF(ISERROR(D154*C156*(1+B24/100)+VLOOKUP(H53,I53:K64,3)*C156),0,IF(OR(C160=1,C159=1),VLOOKUP(H53,I53:K64,3),D154*C156*(1+B24/100)+VLOOKUP(H53,I53:K64,3)*C156))</f>
        <v>75.45</v>
      </c>
      <c r="C156">
        <f ca="1">IF(E155=E156,VLOOKUP(C154,F150:H182,3),0)</f>
        <v>1</v>
      </c>
      <c r="E156">
        <f ca="1">IF(ISERROR(VALUE(LEFT(P!H63,FIND("m",P!H63)-1))),VALUE(MID(P!H63,FIND("m",P!H63)-7,7)),VALUE(LEFT(P!H63,FIND("m",P!H63)-1)))</f>
        <v>0.65</v>
      </c>
      <c r="F156" s="304">
        <v>0.45</v>
      </c>
      <c r="G156" s="381">
        <v>1</v>
      </c>
      <c r="H156" s="381"/>
      <c r="I156" s="218">
        <v>3</v>
      </c>
      <c r="J156" s="218"/>
      <c r="L156" s="376"/>
    </row>
    <row r="157" spans="1:12">
      <c r="B157" s="4"/>
      <c r="F157" s="304">
        <v>0.5</v>
      </c>
      <c r="G157" s="237"/>
      <c r="H157" s="237">
        <v>1</v>
      </c>
      <c r="I157" s="218"/>
      <c r="J157" s="218">
        <v>2</v>
      </c>
      <c r="L157" s="376"/>
    </row>
    <row r="158" spans="1:12">
      <c r="A158" s="1" t="s">
        <v>343</v>
      </c>
      <c r="B158" s="4"/>
      <c r="D158" s="1" t="str">
        <f ca="1">LEFT(P!H61,FIND("/",P!H61,1)-1)</f>
        <v>67.95</v>
      </c>
      <c r="F158" s="304">
        <v>0.55000000000000004</v>
      </c>
      <c r="G158" s="381">
        <v>0.67</v>
      </c>
      <c r="H158" s="381">
        <v>0.33</v>
      </c>
      <c r="I158" s="218">
        <v>2</v>
      </c>
      <c r="J158" s="307">
        <v>1</v>
      </c>
      <c r="L158" s="376"/>
    </row>
    <row r="159" spans="1:12">
      <c r="A159" s="16" t="str">
        <f ca="1">A176 &amp;" x 0.05 mm Strip"</f>
        <v>(45 - 59.4) x 0.05 mm Strip</v>
      </c>
      <c r="B159" s="4">
        <f ca="1">(D158+B175)*C159*(1+B25/100)</f>
        <v>0</v>
      </c>
      <c r="C159">
        <f ca="1">IF(E155=E156,0,IF(B172=33,1,0))</f>
        <v>0</v>
      </c>
      <c r="F159" s="304">
        <v>0.6</v>
      </c>
      <c r="G159" s="237">
        <v>1</v>
      </c>
      <c r="H159" s="237"/>
      <c r="I159" s="218">
        <v>4</v>
      </c>
      <c r="J159" s="218"/>
      <c r="L159" s="376"/>
    </row>
    <row r="160" spans="1:12">
      <c r="A160" s="16" t="str">
        <f ca="1">A176 &amp;" x 0.075 mm Strip"</f>
        <v>(45 - 59.4) x 0.075 mm Strip</v>
      </c>
      <c r="B160" s="4">
        <f ca="1">(D158+B175)*C160*(1+B25/100)</f>
        <v>0</v>
      </c>
      <c r="C160">
        <f ca="1">IF(E155=E156,0,IF(OR(B172=18,B172=45),1,0))</f>
        <v>0</v>
      </c>
      <c r="F160" s="304">
        <v>0.65</v>
      </c>
      <c r="G160" s="381"/>
      <c r="H160" s="381">
        <v>1</v>
      </c>
      <c r="I160" s="218"/>
      <c r="J160" s="218">
        <v>2</v>
      </c>
      <c r="L160" s="376"/>
    </row>
    <row r="161" spans="1:12">
      <c r="B161" s="4"/>
      <c r="F161" s="304">
        <v>0.7</v>
      </c>
      <c r="G161" s="237">
        <f>3/4</f>
        <v>0.75</v>
      </c>
      <c r="H161" s="237">
        <f>1/4</f>
        <v>0.25</v>
      </c>
      <c r="I161" s="218">
        <v>3</v>
      </c>
      <c r="J161" s="218">
        <v>1</v>
      </c>
      <c r="L161" s="376"/>
    </row>
    <row r="162" spans="1:12">
      <c r="A162" s="238" t="str">
        <f ca="1">C140&amp;"mm x 0.15 DDP DL"</f>
        <v>838mm x 0.15 DDP DL</v>
      </c>
      <c r="B162" s="239">
        <f ca="1">B149*(1+Q!B22/100)</f>
        <v>10.31</v>
      </c>
      <c r="F162" s="304">
        <v>0.75</v>
      </c>
      <c r="G162" s="237"/>
      <c r="H162" s="381">
        <v>1</v>
      </c>
      <c r="I162" s="218"/>
      <c r="J162" s="218">
        <v>3</v>
      </c>
      <c r="L162" s="376"/>
    </row>
    <row r="163" spans="1:12">
      <c r="A163" s="238" t="str">
        <f ca="1">C140&amp;"mm x 0.15 DDP SL"</f>
        <v>838mm x 0.15 DDP SL</v>
      </c>
      <c r="B163" s="239">
        <f ca="1">(B150+B155)*(1+Q!B23/100)</f>
        <v>0</v>
      </c>
      <c r="F163" s="304">
        <v>0.8</v>
      </c>
      <c r="G163" s="237">
        <f>2/4</f>
        <v>0.5</v>
      </c>
      <c r="H163" s="237">
        <f>2/4</f>
        <v>0.5</v>
      </c>
      <c r="I163" s="218">
        <v>2</v>
      </c>
      <c r="J163" s="218">
        <v>2</v>
      </c>
      <c r="L163" s="376"/>
    </row>
    <row r="164" spans="1:12">
      <c r="A164" s="238" t="str">
        <f ca="1">C140&amp;"mm x 0.25 DDP SL"</f>
        <v>838mm x 0.25 DDP SL</v>
      </c>
      <c r="B164" s="239">
        <f ca="1">(B151+B156)*(1+Q!B24/100)</f>
        <v>75.45</v>
      </c>
      <c r="F164" s="304">
        <v>0.85</v>
      </c>
      <c r="G164" s="237">
        <f>4/5</f>
        <v>0.8</v>
      </c>
      <c r="H164" s="237">
        <f>1/5</f>
        <v>0.2</v>
      </c>
      <c r="I164" s="218">
        <v>4</v>
      </c>
      <c r="J164" s="218">
        <v>1</v>
      </c>
      <c r="K164" s="383" t="s">
        <v>344</v>
      </c>
      <c r="L164" s="376"/>
    </row>
    <row r="165" spans="1:12">
      <c r="B165" s="4"/>
      <c r="F165" s="304">
        <v>0.9</v>
      </c>
      <c r="G165" s="237">
        <f>1/4</f>
        <v>0.25</v>
      </c>
      <c r="H165" s="237">
        <f>3/4</f>
        <v>0.75</v>
      </c>
      <c r="I165" s="218">
        <v>1</v>
      </c>
      <c r="J165" s="218">
        <v>3</v>
      </c>
      <c r="K165" s="241">
        <v>8</v>
      </c>
      <c r="L165" s="376"/>
    </row>
    <row r="166" spans="1:12">
      <c r="A166" s="1" t="s">
        <v>345</v>
      </c>
      <c r="B166">
        <f ca="1">VLOOKUP(ROUNDUP(A167/2,0),K165:K172,1)</f>
        <v>18</v>
      </c>
      <c r="F166" s="304">
        <v>0.95</v>
      </c>
      <c r="G166" s="381"/>
      <c r="H166" s="381">
        <v>1</v>
      </c>
      <c r="I166" s="218"/>
      <c r="J166" s="218">
        <v>3</v>
      </c>
      <c r="K166" s="241">
        <v>18</v>
      </c>
      <c r="L166" s="376"/>
    </row>
    <row r="167" spans="1:12">
      <c r="A167" s="7">
        <f ca="1">B140-LEFT(P!H41,FIND(".",P!H41,1))</f>
        <v>40</v>
      </c>
      <c r="B167" s="7" t="str">
        <f ca="1">LEFT(IF(ISERROR(C167)=TRUE,C207,RIGHT(P!H42,D167-C167-1)),LEN(IF(ISERROR(C167)=TRUE,C207,RIGHT(P!H42,D167-C167-1)))-2)</f>
        <v>3.0</v>
      </c>
      <c r="C167" s="7">
        <f ca="1">FIND("x",P!H42,Q!D206+1)</f>
        <v>13</v>
      </c>
      <c r="D167" s="7">
        <f ca="1">LEN(P!H42)</f>
        <v>19</v>
      </c>
      <c r="F167" s="304" t="s">
        <v>346</v>
      </c>
      <c r="G167" s="381"/>
      <c r="H167" s="381" t="s">
        <v>20</v>
      </c>
      <c r="I167" s="218"/>
      <c r="J167" s="218">
        <v>4</v>
      </c>
      <c r="K167" s="241">
        <v>27</v>
      </c>
      <c r="L167" s="376"/>
    </row>
    <row r="168" spans="1:12">
      <c r="A168" s="7" t="str">
        <f ca="1">IF(LEFT(P!D44,5)="Inner",LEFT(P!C48,FIND("m",P!C48,1)-2),LEFT(P!C47,FIND("m",P!C47,1)-2))</f>
        <v>1169.422</v>
      </c>
      <c r="B168" s="7" t="str">
        <f ca="1">IF(ISERROR(E168),LEFT(P!C49,FIND(":",P!C49)-1),RIGHT(P!C42,D168-C168))</f>
        <v xml:space="preserve">    8.0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304" t="s">
        <v>347</v>
      </c>
      <c r="G168" s="381">
        <f>4/6</f>
        <v>0.66666666666666663</v>
      </c>
      <c r="H168" s="381">
        <f>2/6</f>
        <v>0.33333333333333331</v>
      </c>
      <c r="I168" s="218">
        <v>4</v>
      </c>
      <c r="J168" s="218">
        <v>2</v>
      </c>
      <c r="K168" s="241">
        <v>33</v>
      </c>
      <c r="L168" s="376"/>
    </row>
    <row r="169" spans="1:12">
      <c r="A169" s="7"/>
      <c r="B169" s="7" t="e">
        <f ca="1">LEFT(P!C49,FIND(":",P!C49,1)-1)</f>
        <v>#VALUE!</v>
      </c>
      <c r="C169" s="7"/>
      <c r="D169" s="7"/>
      <c r="F169" s="304" t="s">
        <v>348</v>
      </c>
      <c r="G169" s="237">
        <v>1</v>
      </c>
      <c r="H169" s="237"/>
      <c r="I169" s="218">
        <f>I159*2</f>
        <v>8</v>
      </c>
      <c r="J169" s="218">
        <f>J159*2</f>
        <v>0</v>
      </c>
      <c r="K169" s="241">
        <v>45</v>
      </c>
      <c r="L169" s="376"/>
    </row>
    <row r="170" spans="1:12">
      <c r="A170" s="9">
        <f ca="1">IF(ISERROR(B168)=TRUE,A168*D168,A168*B168)</f>
        <v>9355.3760000000002</v>
      </c>
      <c r="B170" s="7">
        <f ca="1">A167*B167*A170*0.00000086*(1+B23/100)*3</f>
        <v>2.8964244096000002</v>
      </c>
      <c r="C170" s="9"/>
      <c r="D170" s="7"/>
      <c r="F170" s="304">
        <v>1.25</v>
      </c>
      <c r="G170" s="381"/>
      <c r="H170" s="381">
        <v>1</v>
      </c>
      <c r="I170" s="218">
        <f>I160*2</f>
        <v>0</v>
      </c>
      <c r="J170" s="218">
        <f>J160*2</f>
        <v>4</v>
      </c>
      <c r="L170" s="376"/>
    </row>
    <row r="171" spans="1:12">
      <c r="A171" s="25">
        <f ca="1">IF(A206="CU-Rectangular","("&amp;(B140-G140)/2&amp;" - "&amp;(B140-G140)/2+(G140-F140)&amp;")",B166)</f>
        <v>18</v>
      </c>
      <c r="B171" s="3">
        <f ca="1">IF(B167&lt;0.25,0.13,0.25)</f>
        <v>0.25</v>
      </c>
      <c r="C171" s="9"/>
      <c r="D171" s="7"/>
      <c r="F171" s="304" t="s">
        <v>349</v>
      </c>
      <c r="G171" s="381">
        <v>0.67</v>
      </c>
      <c r="H171" s="381">
        <v>0.33</v>
      </c>
      <c r="I171" s="218">
        <v>4</v>
      </c>
      <c r="J171" s="218">
        <v>2</v>
      </c>
      <c r="L171" s="376"/>
    </row>
    <row r="172" spans="1:12">
      <c r="A172" s="1" t="s">
        <v>350</v>
      </c>
      <c r="B172">
        <f ca="1">VLOOKUP(ROUNDUP(A173/2,0),K165:K172,1)</f>
        <v>45</v>
      </c>
      <c r="F172" s="304" t="s">
        <v>351</v>
      </c>
      <c r="G172" s="237">
        <f>3/4</f>
        <v>0.75</v>
      </c>
      <c r="H172" s="237">
        <f>1/4</f>
        <v>0.25</v>
      </c>
      <c r="I172" s="218">
        <v>6</v>
      </c>
      <c r="J172" s="218">
        <v>2</v>
      </c>
      <c r="K172" s="16"/>
      <c r="L172" s="376"/>
    </row>
    <row r="173" spans="1:12">
      <c r="A173" s="7">
        <f ca="1">B140-LEFT(P!H57,FIND(".",P!H57,1))</f>
        <v>90</v>
      </c>
      <c r="B173" s="7" t="str">
        <f ca="1">RIGHT(P!H58,D173-C173-1)</f>
        <v>6.700</v>
      </c>
      <c r="C173" s="7">
        <f ca="1">FIND("x",P!H58,E211+1)</f>
        <v>12</v>
      </c>
      <c r="D173" s="7">
        <f ca="1">LEN(P!H58)</f>
        <v>18</v>
      </c>
      <c r="F173" s="304" t="s">
        <v>352</v>
      </c>
      <c r="G173" s="237"/>
      <c r="H173" s="381">
        <v>1</v>
      </c>
      <c r="I173" s="218"/>
      <c r="J173" s="218">
        <v>6</v>
      </c>
      <c r="L173" s="4"/>
    </row>
    <row r="174" spans="1:12">
      <c r="A174" s="7" t="str">
        <f ca="1">LEFT(P!C62,FIND("m",P!C62,1)-1)</f>
        <v xml:space="preserve">1746.6 </v>
      </c>
      <c r="B174" s="7" t="str">
        <f ca="1">LEFT(P!C65,FIND("#",P!C65,1)-1)</f>
        <v>23</v>
      </c>
      <c r="C174" s="7"/>
      <c r="D174" s="7"/>
      <c r="F174" s="236">
        <v>1.6</v>
      </c>
      <c r="G174" s="237">
        <f>2/4</f>
        <v>0.5</v>
      </c>
      <c r="H174" s="237">
        <f>2/4</f>
        <v>0.5</v>
      </c>
      <c r="I174" s="218">
        <v>4</v>
      </c>
      <c r="J174" s="218">
        <v>4</v>
      </c>
      <c r="L174" s="4"/>
    </row>
    <row r="175" spans="1:12">
      <c r="A175" s="9">
        <f ca="1">A174*B174</f>
        <v>40171.799999999996</v>
      </c>
      <c r="B175" s="7">
        <f ca="1">IF(OR(A211="AL-Rectangular",A211="CU-rectangular"),B174*B173*A175*0.00000086*(1+B23/100)*3,A173*B173*A175*0.00000086*(1+B23/100)*3)</f>
        <v>15.971423900399998</v>
      </c>
      <c r="C175" s="9"/>
      <c r="D175" s="7"/>
      <c r="F175" s="236">
        <v>1.7</v>
      </c>
      <c r="G175" s="237">
        <f>4/5</f>
        <v>0.8</v>
      </c>
      <c r="H175" s="237">
        <f>1/5</f>
        <v>0.2</v>
      </c>
      <c r="I175" s="218">
        <v>8</v>
      </c>
      <c r="J175" s="218">
        <v>2</v>
      </c>
      <c r="L175" s="4"/>
    </row>
    <row r="176" spans="1:12">
      <c r="A176" s="27" t="str">
        <f ca="1">IF(A211="CU-Rectangular","("&amp;(B140-D140)/2&amp;" - "&amp;(B140-D140)/2+(D140-E140)&amp;")",B172)</f>
        <v>(45 - 59.4)</v>
      </c>
      <c r="B176" s="25">
        <f ca="1">IF(OR(B159=0,B160=0),0.25,0)</f>
        <v>0.25</v>
      </c>
      <c r="C176" s="9"/>
      <c r="D176" s="7"/>
      <c r="F176" s="236">
        <v>1.8</v>
      </c>
      <c r="G176" s="237">
        <f>1/4</f>
        <v>0.25</v>
      </c>
      <c r="H176" s="237">
        <f>3/4</f>
        <v>0.75</v>
      </c>
      <c r="I176" s="218">
        <v>2</v>
      </c>
      <c r="J176" s="218">
        <v>6</v>
      </c>
      <c r="L176" s="4"/>
    </row>
    <row r="177" spans="1:15">
      <c r="A177" s="1" t="s">
        <v>353</v>
      </c>
      <c r="F177" s="236">
        <v>1.9</v>
      </c>
      <c r="G177" s="381"/>
      <c r="H177" s="381">
        <v>1</v>
      </c>
      <c r="I177" s="218"/>
      <c r="J177" s="218">
        <v>6</v>
      </c>
      <c r="L177" s="4"/>
    </row>
    <row r="178" spans="1:15" s="2" customFormat="1">
      <c r="A178" s="9" t="s">
        <v>196</v>
      </c>
      <c r="B178" s="16">
        <f ca="1">VALUE(RIGHT(P!H45,Q!C178-Q!D178))</f>
        <v>1.73</v>
      </c>
      <c r="C178" s="16">
        <f ca="1">LEN(P!H45)</f>
        <v>19</v>
      </c>
      <c r="D178" s="16">
        <f ca="1">FIND("/",P!H45,E178+1)</f>
        <v>13</v>
      </c>
      <c r="E178" s="16">
        <f ca="1">FIND("/",P!H45,1)</f>
        <v>6</v>
      </c>
      <c r="F178" s="236">
        <v>2</v>
      </c>
      <c r="G178" s="381"/>
      <c r="H178" s="381" t="s">
        <v>20</v>
      </c>
      <c r="I178" s="276"/>
      <c r="J178" s="276">
        <v>8</v>
      </c>
      <c r="K178" s="16"/>
      <c r="L178" s="376"/>
      <c r="M178" s="16"/>
      <c r="N178" s="16"/>
      <c r="O178" s="16"/>
    </row>
    <row r="179" spans="1:15" s="2" customFormat="1">
      <c r="A179" s="9" t="s">
        <v>197</v>
      </c>
      <c r="B179" s="16">
        <f ca="1">VALUE(RIGHT(P!H61,Q!C179-Q!D179))</f>
        <v>7.74</v>
      </c>
      <c r="C179" s="16">
        <f ca="1">LEN(P!H61)</f>
        <v>19</v>
      </c>
      <c r="D179" s="16">
        <f ca="1">FIND("/",P!H61,E179+1)</f>
        <v>13</v>
      </c>
      <c r="E179" s="16">
        <f ca="1">FIND("/",P!H61,1)</f>
        <v>6</v>
      </c>
      <c r="F179" s="304">
        <v>2.1</v>
      </c>
      <c r="G179" s="381">
        <f>4/10</f>
        <v>0.4</v>
      </c>
      <c r="H179" s="381">
        <f>6/10</f>
        <v>0.6</v>
      </c>
      <c r="I179" s="276"/>
      <c r="J179" s="276">
        <v>8</v>
      </c>
      <c r="K179" s="16"/>
      <c r="L179" s="376"/>
      <c r="M179" s="16"/>
      <c r="N179" s="16"/>
      <c r="O179" s="16"/>
    </row>
    <row r="180" spans="1:15" s="2" customFormat="1">
      <c r="A180" s="27"/>
      <c r="B180" s="384">
        <f ca="1">SUM(B178:B179)*(1+B25/100)</f>
        <v>9.4700000000000006</v>
      </c>
      <c r="C180" s="16"/>
      <c r="D180" s="16"/>
      <c r="E180" s="16"/>
      <c r="F180" s="304">
        <v>2.2000000000000002</v>
      </c>
      <c r="G180" s="381">
        <f>4/6</f>
        <v>0.66666666666666663</v>
      </c>
      <c r="H180" s="381">
        <f>2/6</f>
        <v>0.33333333333333331</v>
      </c>
      <c r="I180" s="276">
        <v>1</v>
      </c>
      <c r="J180" s="276">
        <v>8</v>
      </c>
      <c r="K180" s="16"/>
      <c r="L180" s="16"/>
      <c r="M180" s="16"/>
      <c r="N180" s="16"/>
      <c r="O180" s="16"/>
    </row>
    <row r="181" spans="1:15">
      <c r="A181" s="1" t="s">
        <v>354</v>
      </c>
      <c r="F181" s="304">
        <v>2.2999999999999998</v>
      </c>
      <c r="G181" s="236">
        <v>0.17</v>
      </c>
      <c r="H181" s="236">
        <v>0.83</v>
      </c>
      <c r="I181" s="218">
        <v>2</v>
      </c>
      <c r="J181" s="276">
        <v>10</v>
      </c>
    </row>
    <row r="182" spans="1:15" s="2" customFormat="1">
      <c r="A182" s="27"/>
      <c r="B182" s="25">
        <f ca="1">VALUE(LEFT(TRIM(P!E93),C182-1))*(1+B26/100)</f>
        <v>48.61</v>
      </c>
      <c r="C182" s="7">
        <f ca="1">FIND("k",TRIM(P!E93),1)</f>
        <v>7</v>
      </c>
      <c r="D182" s="16"/>
      <c r="E182" s="16"/>
      <c r="F182" s="304">
        <v>2.4500000000000002</v>
      </c>
      <c r="G182" s="304">
        <v>0.23</v>
      </c>
      <c r="H182" s="304">
        <v>0.77</v>
      </c>
      <c r="I182" s="276">
        <v>3</v>
      </c>
      <c r="J182" s="276">
        <v>10</v>
      </c>
      <c r="K182" s="16"/>
      <c r="L182" s="16"/>
      <c r="M182" s="16"/>
      <c r="N182" s="16"/>
      <c r="O182" s="16"/>
    </row>
    <row r="183" spans="1:15" s="2" customFormat="1">
      <c r="A183" s="9"/>
      <c r="B183" s="7"/>
      <c r="C183" s="7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 ht="15.75">
      <c r="A184" s="52" t="s">
        <v>355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</row>
    <row r="185" spans="1:15" s="1" customFormat="1">
      <c r="A185" s="19" t="s">
        <v>356</v>
      </c>
      <c r="B185" s="19" t="s">
        <v>357</v>
      </c>
      <c r="C185" s="19" t="s">
        <v>358</v>
      </c>
      <c r="D185" s="19" t="s">
        <v>42</v>
      </c>
      <c r="E185" s="19" t="s">
        <v>359</v>
      </c>
      <c r="F185" s="19" t="s">
        <v>360</v>
      </c>
      <c r="G185" s="19" t="s">
        <v>361</v>
      </c>
      <c r="H185" s="19" t="s">
        <v>362</v>
      </c>
      <c r="I185" s="19" t="s">
        <v>363</v>
      </c>
      <c r="J185" s="19" t="s">
        <v>324</v>
      </c>
      <c r="K185" s="1" t="s">
        <v>364</v>
      </c>
    </row>
    <row r="186" spans="1:15">
      <c r="A186" s="16">
        <f ca="1">VALUE(MID(P!F25,Q!D186+1,Q!E186-Q!D186-1))</f>
        <v>300</v>
      </c>
      <c r="B186">
        <f ca="1">F186+H186*100</f>
        <v>52</v>
      </c>
      <c r="C186">
        <f t="shared" ref="C186:C193" ca="1" si="0">VALUE(J186)*(1+B$16/100)</f>
        <v>704.6</v>
      </c>
      <c r="D186" s="16">
        <f ca="1">FIND(":",P!F25,1)</f>
        <v>7</v>
      </c>
      <c r="E186" s="16">
        <f ca="1">FIND(".",P!F25,1)</f>
        <v>13</v>
      </c>
      <c r="F186">
        <f ca="1">ROUNDUP(VALUE(LEFT(P!H25,Q!G186-1)),0)</f>
        <v>52</v>
      </c>
      <c r="G186">
        <f ca="1">FIND("m",P!H25,1)</f>
        <v>8</v>
      </c>
      <c r="H186" s="16">
        <f ca="1">VALUE(P!G25)</f>
        <v>0</v>
      </c>
      <c r="I186">
        <f ca="1">FIND("k",P!H25,1)</f>
        <v>19</v>
      </c>
      <c r="J186" t="str">
        <f ca="1">MID(P!H25,Q!G186+2,Q!I186-Q!G186-2)</f>
        <v xml:space="preserve">   704.6 </v>
      </c>
      <c r="K186" s="7" t="e">
        <f ca="1">_xlfn.CEILING.MATH(LEFT(P!C38,FIND("/",P!C38)-1),0.5)</f>
        <v>#VALUE!</v>
      </c>
      <c r="L186" s="16"/>
      <c r="M186">
        <f ca="1">IF(A186&gt;0,A186,"")</f>
        <v>300</v>
      </c>
    </row>
    <row r="187" spans="1:15">
      <c r="A187" s="16">
        <f ca="1">VALUE(MID(P!F26,Q!D187+1,Q!E187-Q!D187-1))</f>
        <v>290</v>
      </c>
      <c r="B187">
        <f ca="1">(F187+H187*100)</f>
        <v>78</v>
      </c>
      <c r="C187">
        <f t="shared" ca="1" si="0"/>
        <v>1039.3</v>
      </c>
      <c r="D187" s="16">
        <f ca="1">FIND(":",P!F26,1)</f>
        <v>7</v>
      </c>
      <c r="E187" s="16">
        <f ca="1">FIND(".",P!F26,1)</f>
        <v>13</v>
      </c>
      <c r="F187">
        <f ca="1">ROUNDUP(VALUE(LEFT(P!H26,Q!G187-1)),0)</f>
        <v>78</v>
      </c>
      <c r="G187">
        <f ca="1">FIND("m",P!H26,1)</f>
        <v>8</v>
      </c>
      <c r="H187" s="16">
        <f ca="1">VALUE(P!G26)</f>
        <v>0</v>
      </c>
      <c r="I187">
        <f ca="1">FIND("k",P!H26,1)</f>
        <v>19</v>
      </c>
      <c r="J187" t="str">
        <f ca="1">MID(P!H26,Q!G187+2,Q!I187-Q!G187-2)</f>
        <v xml:space="preserve">  1039.3 </v>
      </c>
      <c r="K187" s="7">
        <f ca="1">IF($N$191=M187,$N$189,B187)</f>
        <v>78</v>
      </c>
      <c r="M187">
        <f t="shared" ref="M187:M194" ca="1" si="1">IF(A187&gt;0,A187,"")</f>
        <v>290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>
      <c r="A188" s="16">
        <f ca="1">VALUE(MID(P!F27,Q!D188+1,Q!E188-Q!D188-1))</f>
        <v>260</v>
      </c>
      <c r="B188">
        <f t="shared" ref="B188:B193" ca="1" si="2">F188+H188*100</f>
        <v>73</v>
      </c>
      <c r="C188">
        <f t="shared" ca="1" si="0"/>
        <v>863.1</v>
      </c>
      <c r="D188" s="16">
        <f ca="1">FIND(":",P!F27,1)</f>
        <v>7</v>
      </c>
      <c r="E188" s="16">
        <f ca="1">FIND(".",P!F27,1)</f>
        <v>13</v>
      </c>
      <c r="F188">
        <f ca="1">ROUNDUP(VALUE(LEFT(P!H27,Q!G188-1)),0)</f>
        <v>73</v>
      </c>
      <c r="G188">
        <f ca="1">FIND("m",P!H27,1)</f>
        <v>8</v>
      </c>
      <c r="H188" s="16">
        <f ca="1">VALUE(P!G27)</f>
        <v>0</v>
      </c>
      <c r="I188">
        <f ca="1">FIND("k",P!H27,1)</f>
        <v>19</v>
      </c>
      <c r="J188" t="str">
        <f ca="1">MID(P!H27,Q!G188+2,Q!I188-Q!G188-2)</f>
        <v xml:space="preserve">   863.1 </v>
      </c>
      <c r="K188" s="7">
        <f t="shared" ref="K188:K194" ca="1" si="3">IF($N$191=M188,$N$189,B188)</f>
        <v>73</v>
      </c>
      <c r="M188">
        <f t="shared" ca="1" si="1"/>
        <v>260</v>
      </c>
      <c r="N188" t="e">
        <f ca="1">ROUND((N187+O187/100)/0.5,0)*0.5</f>
        <v>#VALUE!</v>
      </c>
    </row>
    <row r="189" spans="1:15">
      <c r="A189" s="16">
        <f ca="1">VALUE(MID(P!F28,Q!D189+1,Q!E189-Q!D189-1))</f>
        <v>220</v>
      </c>
      <c r="B189">
        <f t="shared" ca="1" si="2"/>
        <v>55</v>
      </c>
      <c r="C189">
        <f t="shared" ca="1" si="0"/>
        <v>548.9</v>
      </c>
      <c r="D189" s="16">
        <f ca="1">FIND(":",P!F28,1)</f>
        <v>7</v>
      </c>
      <c r="E189" s="16">
        <f ca="1">FIND(".",P!F28,1)</f>
        <v>13</v>
      </c>
      <c r="F189">
        <f ca="1">ROUNDUP(VALUE(LEFT(P!H28,Q!G189-1)),0)</f>
        <v>55</v>
      </c>
      <c r="G189">
        <f ca="1">FIND("m",P!H28,1)</f>
        <v>8</v>
      </c>
      <c r="H189" s="16">
        <f ca="1">VALUE(P!G28)</f>
        <v>0</v>
      </c>
      <c r="I189">
        <f ca="1">FIND("k",P!H28,1)</f>
        <v>19</v>
      </c>
      <c r="J189" t="str">
        <f ca="1">MID(P!H28,Q!G189+2,Q!I189-Q!G189-2)</f>
        <v xml:space="preserve">   548.9 </v>
      </c>
      <c r="K189" s="7">
        <f t="shared" ca="1" si="3"/>
        <v>55</v>
      </c>
      <c r="M189">
        <f t="shared" ca="1" si="1"/>
        <v>220</v>
      </c>
      <c r="N189" t="e">
        <f ca="1">B190/2-(B190-N188)</f>
        <v>#VALUE!</v>
      </c>
    </row>
    <row r="190" spans="1:15">
      <c r="A190" s="16">
        <f ca="1">VALUE(MID(P!F29,Q!D190+1,Q!E190-Q!D190-1))</f>
        <v>180</v>
      </c>
      <c r="B190">
        <f t="shared" ca="1" si="2"/>
        <v>36</v>
      </c>
      <c r="C190">
        <f t="shared" ca="1" si="0"/>
        <v>296.89999999999998</v>
      </c>
      <c r="D190" s="16">
        <f ca="1">FIND(":",P!F29,1)</f>
        <v>7</v>
      </c>
      <c r="E190" s="16">
        <f ca="1">FIND(".",P!F29,1)</f>
        <v>13</v>
      </c>
      <c r="F190">
        <f ca="1">ROUNDUP(VALUE(LEFT(P!H29,Q!G190-1)),0)</f>
        <v>36</v>
      </c>
      <c r="G190">
        <f ca="1">FIND("m",P!H29,1)</f>
        <v>8</v>
      </c>
      <c r="H190" s="16">
        <f ca="1">VALUE(P!G29)</f>
        <v>0</v>
      </c>
      <c r="I190">
        <f ca="1">FIND("k",P!H29,1)</f>
        <v>19</v>
      </c>
      <c r="J190" t="str">
        <f ca="1">MID(P!H29,Q!G190+2,Q!I190-Q!G190-2)</f>
        <v xml:space="preserve">   296.9 </v>
      </c>
      <c r="K190" s="7">
        <f t="shared" ca="1" si="3"/>
        <v>36</v>
      </c>
      <c r="M190">
        <f t="shared" ca="1" si="1"/>
        <v>180</v>
      </c>
    </row>
    <row r="191" spans="1:15">
      <c r="A191" s="16">
        <f ca="1">VALUE(MID(P!F30,Q!D191+1,Q!E191-Q!D191-1))</f>
        <v>120</v>
      </c>
      <c r="B191">
        <f t="shared" ca="1" si="2"/>
        <v>35</v>
      </c>
      <c r="C191">
        <f t="shared" ca="1" si="0"/>
        <v>192.8</v>
      </c>
      <c r="D191" s="16">
        <f ca="1">FIND(":",P!F30,1)</f>
        <v>7</v>
      </c>
      <c r="E191" s="16">
        <f ca="1">FIND(".",P!F30,1)</f>
        <v>13</v>
      </c>
      <c r="F191">
        <f ca="1">ROUNDUP(VALUE(LEFT(P!H30,Q!G191-1)),0)</f>
        <v>35</v>
      </c>
      <c r="G191">
        <f ca="1">FIND("m",P!H30,1)</f>
        <v>8</v>
      </c>
      <c r="H191" s="16">
        <f ca="1">VALUE(P!G30)</f>
        <v>0</v>
      </c>
      <c r="I191">
        <f ca="1">FIND("k",P!H30,1)</f>
        <v>19</v>
      </c>
      <c r="J191" t="str">
        <f ca="1">MID(P!H30,Q!G191+2,Q!I191-Q!G191-2)</f>
        <v xml:space="preserve">   192.8 </v>
      </c>
      <c r="K191" s="7" t="e">
        <f t="shared" ca="1" si="3"/>
        <v>#VALUE!</v>
      </c>
      <c r="M191">
        <f t="shared" ca="1" si="1"/>
        <v>120</v>
      </c>
      <c r="N191">
        <f ca="1">MIN(M186:M194)</f>
        <v>120</v>
      </c>
    </row>
    <row r="192" spans="1:15">
      <c r="A192" s="16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16">
        <f ca="1">FIND(":",P!F31,1)</f>
        <v>7</v>
      </c>
      <c r="E192" s="16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16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>
      <c r="A193" s="16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16">
        <f ca="1">FIND(":",P!F32,1)</f>
        <v>7</v>
      </c>
      <c r="E193" s="16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16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>
      <c r="A194" s="16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16">
        <f ca="1">FIND(":",P!F33,1)</f>
        <v>7</v>
      </c>
      <c r="E194" s="16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16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>
      <c r="A195" s="6" t="s">
        <v>365</v>
      </c>
      <c r="B195" s="6">
        <f ca="1">SUM(B186:B193)</f>
        <v>329</v>
      </c>
      <c r="C195" s="11">
        <f ca="1">VALUE(D195)*(1+B$16/100)</f>
        <v>3645.4</v>
      </c>
      <c r="D195">
        <f ca="1">VALUE(LEFT(P!E33,FIND("k",P!E33,1)-1))</f>
        <v>3645.4</v>
      </c>
      <c r="E195" s="16"/>
      <c r="H195" s="16"/>
    </row>
    <row r="196" spans="1:13">
      <c r="A196" t="s">
        <v>366</v>
      </c>
      <c r="B196" t="str">
        <f ca="1">TRIM(LEFT(P!C26,FIND("/",P!C26,1)-1))</f>
        <v>27ZH00</v>
      </c>
      <c r="C196" s="16"/>
      <c r="D196" s="16"/>
    </row>
    <row r="197" spans="1:13">
      <c r="A197" s="6" t="s">
        <v>367</v>
      </c>
      <c r="B197" s="11" t="str">
        <f ca="1">IF(B196="27ZH00", "27ZH100",IF(B196="23ZDKH", "23ZDKH85",IF(B196="27M4", "27M4")))</f>
        <v>27ZH100</v>
      </c>
      <c r="C197" s="16"/>
      <c r="D197" s="16"/>
    </row>
    <row r="198" spans="1:13" s="2" customFormat="1">
      <c r="A198" s="9"/>
      <c r="B198" s="7"/>
      <c r="C198" s="7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5.75">
      <c r="A199" s="52" t="s">
        <v>368</v>
      </c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</row>
    <row r="200" spans="1:13" s="2" customFormat="1">
      <c r="A200" s="16" t="s">
        <v>196</v>
      </c>
      <c r="B200" s="16" t="s">
        <v>369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s="2" customFormat="1">
      <c r="A201" s="16"/>
      <c r="B201" s="16" t="s">
        <v>370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s="2" customFormat="1">
      <c r="A202" s="16"/>
      <c r="B202" s="16" t="s">
        <v>371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s="2" customFormat="1">
      <c r="A203" s="16" t="s">
        <v>197</v>
      </c>
      <c r="B203" s="16" t="s">
        <v>372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s="2" customFormat="1">
      <c r="A204" s="16"/>
      <c r="B204" s="16" t="s">
        <v>373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>
      <c r="A205" s="1" t="s">
        <v>374</v>
      </c>
    </row>
    <row r="206" spans="1:13">
      <c r="A206" s="16" t="str">
        <f ca="1">P!C41</f>
        <v>CU-Foil</v>
      </c>
      <c r="B206" s="16" t="str">
        <f ca="1">IF(OR(A206=B200,A206=B201),LEFT(RIGHT(P!H42,Q!C206-Q!D206),LEN(RIGHT(P!H42,Q!C206-Q!D206))-1),LEFT(RIGHT(P!H42,Q!C206-Q!D206),LEN(RIGHT(P!H42,Q!C206-Q!D206))-2))</f>
        <v xml:space="preserve"> 800.00 x 3.00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>
      <c r="A207" s="16" t="str">
        <f ca="1">IF(ISERROR(B207)=TRUE,A206,IF(B207=C207,B203,IF(A206=B202,B204,0)))</f>
        <v>CU-Foil</v>
      </c>
      <c r="B207" s="379" t="e">
        <f ca="1">VALUE(MID(P!H42,Q!E207+1,Q!D207-Q!E207-1))</f>
        <v>#VALUE!</v>
      </c>
      <c r="C207" s="169" t="e">
        <f ca="1">VALUE(LEFT(P!H42,Q!E207-1))</f>
        <v>#VALUE!</v>
      </c>
      <c r="D207" s="169" t="e">
        <f ca="1">FIND("m",P!H42,1)</f>
        <v>#VALUE!</v>
      </c>
      <c r="E207" s="169" t="e">
        <f ca="1">FIND("X",P!H42,1)</f>
        <v>#VALUE!</v>
      </c>
    </row>
    <row r="208" spans="1:13">
      <c r="A208" s="16"/>
      <c r="B208" s="16" t="str">
        <f ca="1">IF(A207=B203,B207,IF(A207=B204,B207&amp;"x"&amp;C207,B206))</f>
        <v xml:space="preserve"> 800.00 x 3.00</v>
      </c>
      <c r="C208">
        <f ca="1">VALUE(LEFT(B208,FIND("x",B208)-1))</f>
        <v>800</v>
      </c>
      <c r="D208">
        <f ca="1">VALUE(RIGHT(B208,LEN(B208)-FIND("x",B208)))</f>
        <v>3</v>
      </c>
    </row>
    <row r="209" spans="1:12">
      <c r="A209" s="3" t="str">
        <f ca="1">B208&amp;"mm "&amp;IF(C208=D208,B203,A207)</f>
        <v xml:space="preserve"> 800.00 x 3.00mm CU-Foil</v>
      </c>
      <c r="B209" s="3">
        <f ca="1">LEFT(P!H43,FIND("/",P!H43,1)-1)*(1+B18/100)</f>
        <v>603.53</v>
      </c>
      <c r="C209" t="str">
        <f ca="1">LEFT(P!H43,FIND("/",P!H43,1)-1)</f>
        <v xml:space="preserve">603.53 </v>
      </c>
    </row>
    <row r="210" spans="1:12">
      <c r="A210" s="1" t="s">
        <v>375</v>
      </c>
    </row>
    <row r="211" spans="1:12">
      <c r="A211" s="16" t="str">
        <f ca="1">P!C58</f>
        <v>CU-Rectangular</v>
      </c>
      <c r="B211" s="16" t="str">
        <f ca="1">RIGHT(P!H58,Q!C211-Q!E211)</f>
        <v xml:space="preserve"> 2.700 x 6.700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2</v>
      </c>
    </row>
    <row r="212" spans="1:12">
      <c r="A212" s="16"/>
      <c r="B212" s="16" t="str">
        <f ca="1">RIGHT(P!H58,Q!C211-D211)</f>
        <v xml:space="preserve"> 6.700</v>
      </c>
    </row>
    <row r="213" spans="1:12">
      <c r="A213" s="3" t="str">
        <f ca="1">IF(A211=B203,B212&amp;"mm "&amp;A211,B211&amp;"mm "&amp;A211)</f>
        <v xml:space="preserve"> 2.700 x 6.700mm CU-Rectangular</v>
      </c>
      <c r="B213" s="3">
        <f ca="1">LEFT(P!H60,FIND("k",P!H60,1)-1)*(1+B19/100)+IF(OR(K50=0,L50=0),VLOOKUP(B46,I53:J64,2)*1.33,0)</f>
        <v>1905.56</v>
      </c>
      <c r="C213" t="str">
        <f ca="1">LEFT(P!H60,FIND("k",P!H60,1)-1)</f>
        <v xml:space="preserve">1905.56 </v>
      </c>
    </row>
    <row r="214" spans="1:12">
      <c r="A214" s="1" t="s">
        <v>376</v>
      </c>
    </row>
    <row r="215" spans="1:12">
      <c r="A215" t="s">
        <v>377</v>
      </c>
      <c r="B215" s="7" t="str">
        <f ca="1">MID(P!H43,C215+1,D215-C215-1)</f>
        <v xml:space="preserve"> 113.33 </v>
      </c>
      <c r="C215" s="7">
        <f ca="1">FIND("/",P!H43,1)</f>
        <v>8</v>
      </c>
      <c r="D215" s="7">
        <f ca="1">FIND("k",P!H43,1)</f>
        <v>17</v>
      </c>
    </row>
    <row r="216" spans="1:12">
      <c r="A216" t="s">
        <v>378</v>
      </c>
      <c r="B216" s="7" t="str">
        <f ca="1">LEFT(P!C95,FIND("/",P!C95,1)-1)</f>
        <v>71</v>
      </c>
      <c r="C216" s="7"/>
      <c r="D216" s="7"/>
    </row>
    <row r="217" spans="1:12">
      <c r="A217" t="s">
        <v>379</v>
      </c>
      <c r="B217" s="1">
        <f ca="1">((B215+B216)*(1+B20/100))</f>
        <v>184.32999999999998</v>
      </c>
      <c r="C217" s="15"/>
      <c r="D217" s="1">
        <f ca="1">VALUE(MID(P!E48,Q!G217+1,F217-G217-1))</f>
        <v>20</v>
      </c>
      <c r="E217" s="1">
        <f ca="1">VALUE(LEFT(P!E48,Q!G217-1))</f>
        <v>100</v>
      </c>
      <c r="F217">
        <f ca="1">FIND("m",P!E48,G217)</f>
        <v>18</v>
      </c>
      <c r="G217">
        <f ca="1">FIND("/",P!E48,1)</f>
        <v>9</v>
      </c>
      <c r="H217">
        <f ca="1">LEN(P!E48)</f>
        <v>19</v>
      </c>
    </row>
    <row r="218" spans="1:12">
      <c r="C218" s="7"/>
    </row>
    <row r="219" spans="1:12">
      <c r="A219" s="3" t="str">
        <f ca="1">D217&amp;"*"&amp;E217&amp;"mm"</f>
        <v>20*100mm</v>
      </c>
      <c r="B219" s="3">
        <f ca="1">(B217/0.0000089)/(D217*E217)/1000</f>
        <v>10.355617977528089</v>
      </c>
    </row>
    <row r="220" spans="1:12">
      <c r="A220" s="6" t="s">
        <v>380</v>
      </c>
      <c r="B220" s="3">
        <f ca="1">(LEFT(P!C94,FIND("k",P!C94,1)-1)/0.87)*(1+B17/100)</f>
        <v>3250.5747126436781</v>
      </c>
    </row>
    <row r="221" spans="1:12" s="2" customFormat="1">
      <c r="A221" s="9"/>
      <c r="B221" s="7"/>
      <c r="C221" s="7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ht="15.75">
      <c r="A222" s="52" t="s">
        <v>381</v>
      </c>
      <c r="B222" s="52"/>
      <c r="C222" s="51"/>
      <c r="D222" s="51"/>
      <c r="E222" s="51"/>
      <c r="F222" s="51"/>
      <c r="G222" s="51"/>
      <c r="H222" s="51"/>
      <c r="I222" s="51"/>
      <c r="J222" s="51"/>
      <c r="K222" s="51"/>
      <c r="L222" s="51"/>
    </row>
    <row r="223" spans="1:12">
      <c r="A223" s="1" t="s">
        <v>382</v>
      </c>
      <c r="B223" s="1">
        <f xml:space="preserve"> 0.00000785</f>
        <v>7.8499999999999994E-6</v>
      </c>
      <c r="C223" s="1"/>
      <c r="D223" s="9"/>
      <c r="E223" s="7"/>
    </row>
    <row r="224" spans="1:12">
      <c r="A224" s="1" t="s">
        <v>383</v>
      </c>
      <c r="B224" s="9" t="s">
        <v>384</v>
      </c>
      <c r="C224" s="7" t="s">
        <v>385</v>
      </c>
      <c r="D224" s="9"/>
      <c r="E224" s="7"/>
    </row>
    <row r="225" spans="1:5">
      <c r="A225" s="9" t="s">
        <v>386</v>
      </c>
      <c r="B225" s="7">
        <f ca="1">VALUE(LEFT(P!C96,Q!D225-1))</f>
        <v>283</v>
      </c>
      <c r="C225" s="150">
        <f ca="1">M258</f>
        <v>180.84421799999998</v>
      </c>
      <c r="D225" s="9">
        <f ca="1">FIND("/",P!C96,1)</f>
        <v>4</v>
      </c>
      <c r="E225" s="7">
        <f ca="1">FIND("k",P!C96,Q!D225)</f>
        <v>12</v>
      </c>
    </row>
    <row r="226" spans="1:5">
      <c r="A226" s="9" t="s">
        <v>387</v>
      </c>
      <c r="B226" s="7">
        <f ca="1">VALUE(MID(P!C96,D225+1,E225-D225-1))</f>
        <v>2862</v>
      </c>
      <c r="C226" s="150"/>
      <c r="D226" s="9"/>
      <c r="E226" s="7"/>
    </row>
    <row r="227" spans="1:5">
      <c r="A227" s="9" t="s">
        <v>388</v>
      </c>
      <c r="B227" s="7">
        <f ca="1">B226-B235</f>
        <v>1657</v>
      </c>
      <c r="C227" s="150">
        <f ca="1">M259+M262+H267+H268+H272</f>
        <v>773.29241108999997</v>
      </c>
      <c r="D227" s="9"/>
      <c r="E227" s="7"/>
    </row>
    <row r="228" spans="1:5">
      <c r="A228" s="9" t="s">
        <v>389</v>
      </c>
      <c r="B228" s="7">
        <f ca="1">VALUE(LEFT(TRIM(P!C93),D228-1))</f>
        <v>631</v>
      </c>
      <c r="C228" s="150">
        <f ca="1">H265+H266+H269+H270+H271+H273</f>
        <v>212.58490799999998</v>
      </c>
      <c r="D228" s="7">
        <f ca="1">FIND("k",TRIM(P!C93),1)</f>
        <v>5</v>
      </c>
      <c r="E228" s="7"/>
    </row>
    <row r="229" spans="1:5">
      <c r="A229" s="9" t="s">
        <v>298</v>
      </c>
      <c r="B229" s="7">
        <f ca="1">IF(E38="Conservator",VALUE(LEFT(TRIM(P!E92),D229-1)),0)</f>
        <v>96.94</v>
      </c>
      <c r="C229" s="150">
        <f ca="1">M260</f>
        <v>45.215999999999994</v>
      </c>
      <c r="D229" s="168">
        <f ca="1">FIND("k",TRIM(P!E92),1)</f>
        <v>7</v>
      </c>
    </row>
    <row r="230" spans="1:5">
      <c r="A230" s="9"/>
      <c r="B230" s="15">
        <f ca="1">ROUND(B225+B227+B228+B229,0)</f>
        <v>2668</v>
      </c>
      <c r="C230" s="151">
        <f ca="1">ROUND(C225+C227+C228+C229,0)</f>
        <v>1212</v>
      </c>
      <c r="D230" s="7"/>
    </row>
    <row r="231" spans="1:5">
      <c r="A231" s="385"/>
      <c r="B231" s="385">
        <f ca="1">MAX(B230,C230)*(1+B13/100)</f>
        <v>2668</v>
      </c>
      <c r="C231" s="385"/>
      <c r="D231" s="376"/>
      <c r="E231" s="376"/>
    </row>
    <row r="232" spans="1:5">
      <c r="A232" s="8" t="s">
        <v>390</v>
      </c>
      <c r="B232" s="7"/>
      <c r="C232" s="9"/>
      <c r="D232" s="7"/>
    </row>
    <row r="233" spans="1:5">
      <c r="A233" s="9" t="s">
        <v>391</v>
      </c>
      <c r="B233" s="7">
        <f ca="1">IF(OR(E37="Ribs",E37="Rib "),VALUE(RIGHT(TRIM(P!E94),C233-D233-1)),0)</f>
        <v>0</v>
      </c>
      <c r="C233" s="9">
        <f ca="1">LEN(TRIM(P!E94))</f>
        <v>7</v>
      </c>
      <c r="D233" s="7" t="e">
        <f ca="1">FIND("m",TRIM(P!E94),1)</f>
        <v>#VALUE!</v>
      </c>
    </row>
    <row r="234" spans="1:5">
      <c r="A234" s="9" t="s">
        <v>212</v>
      </c>
      <c r="B234" s="7">
        <f ca="1">IF(E37="Rads",VALUE(LEFT(TRIM(P!E94),C234-1)),0)</f>
        <v>1205</v>
      </c>
      <c r="C234" s="7">
        <f ca="1">FIND("k",TRIM(P!E94),1)</f>
        <v>6</v>
      </c>
    </row>
    <row r="235" spans="1:5">
      <c r="A235" s="9"/>
      <c r="B235" s="7">
        <f ca="1">SUM(B233:B234)</f>
        <v>1205</v>
      </c>
      <c r="C235" s="7"/>
    </row>
    <row r="236" spans="1:5">
      <c r="A236" s="49"/>
      <c r="B236" s="25">
        <f ca="1">B235*(1+B10/100)</f>
        <v>1205</v>
      </c>
      <c r="C236" s="9"/>
      <c r="D236" s="7"/>
    </row>
    <row r="237" spans="1:5">
      <c r="A237" s="8" t="s">
        <v>392</v>
      </c>
      <c r="B237" s="9">
        <f ca="1">B225+B227+B229+B236</f>
        <v>3241.94</v>
      </c>
      <c r="C237" s="9"/>
      <c r="D237" s="7"/>
    </row>
    <row r="238" spans="1:5">
      <c r="A238" s="267" t="s">
        <v>393</v>
      </c>
      <c r="B238" s="267"/>
      <c r="C238" s="45"/>
      <c r="D238" s="45"/>
    </row>
    <row r="239" spans="1:5">
      <c r="A239" s="386" t="str">
        <f ca="1">"MS Ch  76x38x6 , L= "&amp;D273&amp;"mm"</f>
        <v>MS Ch  76x38x6 , L= 2083mm</v>
      </c>
      <c r="B239" s="268">
        <f>76*6+2*(38-6)*6</f>
        <v>840</v>
      </c>
      <c r="E239" s="14"/>
    </row>
    <row r="240" spans="1:5">
      <c r="A240" s="386" t="str">
        <f ca="1">"MS Ch 100x50x6 , L= "&amp;D273&amp;"mm"</f>
        <v>MS Ch 100x50x6 , L= 2083mm</v>
      </c>
      <c r="B240" s="268">
        <f>100*6+2*(50-6)*6</f>
        <v>1128</v>
      </c>
      <c r="E240" s="14"/>
    </row>
    <row r="241" spans="1:13">
      <c r="A241" s="386" t="str">
        <f ca="1">"MS Ch 127x64x6 , L= "&amp;D273&amp;"mm"</f>
        <v>MS Ch 127x64x6 , L= 2083mm</v>
      </c>
      <c r="B241" s="268">
        <f>127*6+2*(64-6)*6</f>
        <v>1458</v>
      </c>
      <c r="E241" s="14"/>
    </row>
    <row r="242" spans="1:13">
      <c r="A242" s="386" t="str">
        <f ca="1">"MS Ch 152x76x6 , L= "&amp;D273&amp;"mm"</f>
        <v>MS Ch 152x76x6 , L= 2083mm</v>
      </c>
      <c r="B242" s="268">
        <f>152*6+2*(76-6)*6</f>
        <v>1752</v>
      </c>
      <c r="E242" s="14"/>
    </row>
    <row r="243" spans="1:13">
      <c r="A243" s="386" t="str">
        <f ca="1">"MS Ch 200x75x9 , L= "&amp;D273&amp;"mm"</f>
        <v>MS Ch 200x75x9 , L= 2083mm</v>
      </c>
      <c r="B243" s="268">
        <f>200*9+2*(75-9)*9</f>
        <v>2988</v>
      </c>
      <c r="E243" s="14"/>
    </row>
    <row r="244" spans="1:13">
      <c r="A244" s="268" t="str">
        <f ca="1">B273&amp;"mm MS Plate "&amp;D273&amp;"x"&amp;C273&amp;"x"&amp;B273&amp;"mm"</f>
        <v>6mm MS Plate 2083x390x6mm</v>
      </c>
      <c r="B244" s="268">
        <f ca="1">C273*B273</f>
        <v>2340</v>
      </c>
      <c r="E244" s="14"/>
    </row>
    <row r="245" spans="1:13">
      <c r="E245" s="14"/>
    </row>
    <row r="246" spans="1:13">
      <c r="A246" s="59" t="s">
        <v>394</v>
      </c>
      <c r="B246" s="59"/>
      <c r="C246" s="59"/>
      <c r="D246" s="45"/>
      <c r="E246" s="45"/>
    </row>
    <row r="247" spans="1:13">
      <c r="A247" s="114" t="s">
        <v>395</v>
      </c>
      <c r="B247" s="114">
        <v>50</v>
      </c>
      <c r="C247">
        <f>2*50*6-6*6</f>
        <v>564</v>
      </c>
      <c r="F247" s="14"/>
    </row>
    <row r="248" spans="1:13">
      <c r="A248" s="114" t="s">
        <v>396</v>
      </c>
      <c r="B248" s="114">
        <v>76</v>
      </c>
      <c r="C248">
        <f>76*6+2*(38-6)*6</f>
        <v>840</v>
      </c>
      <c r="E248" s="387" t="s">
        <v>397</v>
      </c>
      <c r="F248" s="14"/>
    </row>
    <row r="249" spans="1:13">
      <c r="A249" s="114" t="s">
        <v>398</v>
      </c>
      <c r="B249" s="114">
        <v>100</v>
      </c>
      <c r="C249">
        <f>100*6+2*(50-6)*6</f>
        <v>1128</v>
      </c>
      <c r="E249" s="387" t="s">
        <v>399</v>
      </c>
    </row>
    <row r="250" spans="1:13">
      <c r="A250" s="114" t="s">
        <v>400</v>
      </c>
      <c r="B250" s="114">
        <v>152</v>
      </c>
      <c r="C250">
        <f>3*152*10-20*10</f>
        <v>4360</v>
      </c>
      <c r="E250" s="261">
        <v>2500</v>
      </c>
    </row>
    <row r="251" spans="1:13">
      <c r="A251" s="114" t="s">
        <v>401</v>
      </c>
      <c r="B251" s="114">
        <v>200</v>
      </c>
      <c r="C251">
        <f>200*9+2*(75-9)*9</f>
        <v>2988</v>
      </c>
      <c r="E251" s="387" t="s">
        <v>402</v>
      </c>
      <c r="F251" s="14"/>
    </row>
    <row r="252" spans="1:13">
      <c r="E252" s="14"/>
    </row>
    <row r="253" spans="1:13">
      <c r="E253" s="14"/>
    </row>
    <row r="254" spans="1:13">
      <c r="A254" s="26"/>
      <c r="B254" s="104" t="s">
        <v>403</v>
      </c>
      <c r="C254" s="104"/>
      <c r="D254" s="104"/>
      <c r="E254" s="429" t="s">
        <v>404</v>
      </c>
      <c r="F254" s="429"/>
      <c r="G254" s="429"/>
      <c r="H254" s="429" t="s">
        <v>405</v>
      </c>
      <c r="I254" s="429"/>
      <c r="J254" s="429"/>
      <c r="K254" s="26"/>
      <c r="L254" s="26"/>
      <c r="M254" s="26" t="str">
        <f>H264</f>
        <v>WEIGHT</v>
      </c>
    </row>
    <row r="255" spans="1:13">
      <c r="A255" t="s">
        <v>406</v>
      </c>
      <c r="B255" s="377">
        <v>2440</v>
      </c>
      <c r="C255" s="149"/>
      <c r="D255" s="149"/>
      <c r="E255" s="149"/>
      <c r="F255" s="149"/>
      <c r="G255" s="149"/>
      <c r="H255" s="149"/>
      <c r="I255" s="149"/>
      <c r="J255" s="149"/>
    </row>
    <row r="256" spans="1:13">
      <c r="A256" t="s">
        <v>407</v>
      </c>
      <c r="B256" s="377">
        <v>1220</v>
      </c>
      <c r="C256" s="149"/>
      <c r="D256" s="149"/>
      <c r="E256" s="149"/>
      <c r="F256" s="149"/>
      <c r="G256" s="149"/>
      <c r="H256" s="149"/>
      <c r="I256" s="149"/>
      <c r="J256" s="149"/>
    </row>
    <row r="257" spans="1:13">
      <c r="A257" s="1"/>
      <c r="B257" t="s">
        <v>408</v>
      </c>
      <c r="C257" s="7" t="s">
        <v>315</v>
      </c>
      <c r="D257" t="s">
        <v>314</v>
      </c>
      <c r="E257" t="s">
        <v>409</v>
      </c>
      <c r="F257" t="s">
        <v>410</v>
      </c>
      <c r="G257" t="s">
        <v>411</v>
      </c>
      <c r="H257" t="s">
        <v>412</v>
      </c>
      <c r="I257" t="s">
        <v>413</v>
      </c>
      <c r="J257" t="s">
        <v>411</v>
      </c>
      <c r="K257" t="s">
        <v>414</v>
      </c>
      <c r="L257" t="s">
        <v>415</v>
      </c>
    </row>
    <row r="258" spans="1:13">
      <c r="A258" t="s">
        <v>416</v>
      </c>
      <c r="B258">
        <f ca="1">IF('Bill of Materials'!M50=0,IF(B46&lt;400,4,IF(B46&lt;800,6,10)),'Bill of Materials'!M50)</f>
        <v>10</v>
      </c>
      <c r="C258" s="7">
        <f ca="1">D268+60</f>
        <v>996</v>
      </c>
      <c r="D258">
        <f ca="1">D267+60</f>
        <v>2313</v>
      </c>
      <c r="E258">
        <f ca="1">INT($B$255/D258)</f>
        <v>1</v>
      </c>
      <c r="F258">
        <f ca="1">INT($B$256/C258)</f>
        <v>1</v>
      </c>
      <c r="G258">
        <f ca="1">E258*F258</f>
        <v>1</v>
      </c>
      <c r="H258">
        <f ca="1">INT($B$255/C258)</f>
        <v>2</v>
      </c>
      <c r="I258">
        <f ca="1">INT($B$256/D258)</f>
        <v>0</v>
      </c>
      <c r="J258">
        <f ca="1">H258*I258</f>
        <v>0</v>
      </c>
      <c r="K258">
        <f ca="1">MAX(G258,J258)</f>
        <v>1</v>
      </c>
      <c r="L258">
        <f ca="1">IF(K258=0,0,ROUNDUP('Bill of Materials'!$C$7/K258,0))</f>
        <v>1</v>
      </c>
      <c r="M258">
        <f ca="1">B258*C258*D258*B$223</f>
        <v>180.84421799999998</v>
      </c>
    </row>
    <row r="259" spans="1:13">
      <c r="A259" s="16" t="s">
        <v>417</v>
      </c>
      <c r="B259">
        <f ca="1">IF('Bill of Materials'!M51=0,IF(B37=B42,IF(B46&lt;400,3,IF(B46&lt;1000,4,6)),B262),'Bill of Materials'!M51)</f>
        <v>6</v>
      </c>
      <c r="C259" s="7">
        <f ca="1">D267</f>
        <v>2253</v>
      </c>
      <c r="D259">
        <f ca="1">IF(B37=B42,B95+2*(B96-B301-30),D268)</f>
        <v>936</v>
      </c>
      <c r="E259">
        <f ca="1">INT($B$255/D259)</f>
        <v>2</v>
      </c>
      <c r="F259">
        <f ca="1">INT($B$256/C259)</f>
        <v>0</v>
      </c>
      <c r="G259">
        <f ca="1">E259*F259</f>
        <v>0</v>
      </c>
      <c r="H259">
        <f ca="1">INT($B$255/C259)</f>
        <v>1</v>
      </c>
      <c r="I259">
        <f ca="1">INT($B$256/D259)</f>
        <v>1</v>
      </c>
      <c r="J259">
        <f ca="1">H259*I259</f>
        <v>1</v>
      </c>
      <c r="K259">
        <f ca="1">MAX(G259,J259)</f>
        <v>1</v>
      </c>
      <c r="L259">
        <f ca="1">IF(K259=0,0,ROUNDUP('Bill of Materials'!$C$7/K259,0))</f>
        <v>1</v>
      </c>
      <c r="M259">
        <f ca="1">B259*C259*D259*B$223</f>
        <v>99.324856799999992</v>
      </c>
    </row>
    <row r="260" spans="1:13">
      <c r="A260" s="16" t="s">
        <v>298</v>
      </c>
      <c r="B260">
        <f ca="1">IF(B46&lt;1001,3,IF(B46&lt;4001,4,6))</f>
        <v>4</v>
      </c>
      <c r="C260" s="7">
        <f ca="1">IF(E38="Conservator",1200,0)</f>
        <v>1200</v>
      </c>
      <c r="D260">
        <f ca="1">IF(E38="Conservator",1200,0)</f>
        <v>1200</v>
      </c>
      <c r="E260" s="169">
        <f ca="1">INT($B$255/D260)</f>
        <v>2</v>
      </c>
      <c r="F260" s="169">
        <f ca="1">INT($B$256/C260)</f>
        <v>1</v>
      </c>
      <c r="G260" s="169">
        <f ca="1">E260*F260</f>
        <v>2</v>
      </c>
      <c r="H260" s="169">
        <f ca="1">INT($B$255/C260)</f>
        <v>2</v>
      </c>
      <c r="I260" s="169">
        <f ca="1">INT($B$256/D260)</f>
        <v>1</v>
      </c>
      <c r="J260" s="169">
        <f ca="1">H260*I260</f>
        <v>2</v>
      </c>
      <c r="K260">
        <f ca="1">IF(B41=B38,MAX(G260,J260),0)</f>
        <v>2</v>
      </c>
      <c r="L260">
        <f ca="1">IF(ISERROR(K260),0,IF(K260=0,0,ROUNDUP('Bill of Materials'!$C$7/K260,0)))</f>
        <v>1</v>
      </c>
      <c r="M260">
        <f ca="1">B260*C260*D260*B$223</f>
        <v>45.215999999999994</v>
      </c>
    </row>
    <row r="261" spans="1:13">
      <c r="A261" s="16"/>
      <c r="C261" s="7"/>
      <c r="K261" t="s">
        <v>418</v>
      </c>
    </row>
    <row r="262" spans="1:13">
      <c r="A262" t="s">
        <v>419</v>
      </c>
      <c r="B262">
        <f ca="1">IF('Bill of Materials'!M53=0,IF(B46&lt;5000,6,10),'Bill of Materials'!M53)</f>
        <v>6</v>
      </c>
      <c r="C262" s="7">
        <f ca="1">IF(B37=B42,0,B96)</f>
        <v>1811</v>
      </c>
      <c r="D262" s="16">
        <f ca="1">IF(B37=B42,0,2.1*(B94+B95))</f>
        <v>6360.9000000000005</v>
      </c>
      <c r="E262">
        <f ca="1">ROUNDUP(C262/$B$256,0)</f>
        <v>2</v>
      </c>
      <c r="F262">
        <f ca="1">ROUNDUP(D262/$B$256,0)</f>
        <v>6</v>
      </c>
      <c r="G262">
        <f ca="1">E262*F262/2</f>
        <v>6</v>
      </c>
      <c r="L262">
        <f ca="1">ROUNDUP('Bill of Materials'!$C$7*G262,0)</f>
        <v>6</v>
      </c>
      <c r="M262">
        <f ca="1">B262*C262*D262*B$223</f>
        <v>542.57268428999998</v>
      </c>
    </row>
    <row r="263" spans="1:13">
      <c r="C263" s="7"/>
      <c r="M263" s="1"/>
    </row>
    <row r="264" spans="1:13">
      <c r="A264" s="28"/>
      <c r="B264" s="28" t="s">
        <v>408</v>
      </c>
      <c r="C264" s="29" t="s">
        <v>315</v>
      </c>
      <c r="D264" s="28" t="s">
        <v>314</v>
      </c>
      <c r="E264" s="28" t="s">
        <v>420</v>
      </c>
      <c r="F264" s="28" t="s">
        <v>421</v>
      </c>
      <c r="G264" s="388" t="s">
        <v>422</v>
      </c>
      <c r="H264" s="388" t="s">
        <v>423</v>
      </c>
      <c r="I264" s="388"/>
      <c r="J264" s="388"/>
      <c r="K264" s="388"/>
      <c r="L264" s="388"/>
    </row>
    <row r="265" spans="1:13">
      <c r="A265" s="389" t="s">
        <v>424</v>
      </c>
      <c r="B265" s="268">
        <f ca="1">IF(B46&lt;100,8,IF(B46&lt;315,10,IF(B46&lt;=1000,12,19)))</f>
        <v>19</v>
      </c>
      <c r="C265" s="269" t="s">
        <v>46</v>
      </c>
      <c r="D265" s="268">
        <f ca="1">B271+B269+B141+2*A186+4*B265</f>
        <v>1606</v>
      </c>
      <c r="E265" s="268" t="str">
        <f ca="1">IF(B265=8,"8mm Threaded Rod",IF(B265=10,"10mm BS Rod",IF(B265=12,"12mm BS Rod",IF(B265=19,"3/4 inch BS Rod"))))</f>
        <v>3/4 inch BS Rod</v>
      </c>
      <c r="F265" s="268">
        <f ca="1">IF(B46&lt;1001,0,IF(B46&lt;2501,4,8))</f>
        <v>8</v>
      </c>
      <c r="G265" s="268">
        <f ca="1">ROUNDUP(PI()*(B265/2)^2,0)</f>
        <v>284</v>
      </c>
      <c r="H265" s="268"/>
    </row>
    <row r="266" spans="1:13">
      <c r="A266" s="268" t="s">
        <v>425</v>
      </c>
      <c r="B266" s="268">
        <f ca="1">IF(B46&lt;100,8,IF(B46&lt;315,10,IF(B46&lt;=1000,12,19)))</f>
        <v>19</v>
      </c>
      <c r="C266" s="269" t="s">
        <v>46</v>
      </c>
      <c r="D266" s="268">
        <f ca="1">B195+2*C275+4*B266</f>
        <v>505</v>
      </c>
      <c r="E266" s="268" t="str">
        <f ca="1">IF(B266=8,"8mm Threaded Rod",IF(B266=10,"10mm BS Rod",IF(B266=12,"12mm BS Rod",IF(B266=19,"3/4 inch BS Rod"))))</f>
        <v>3/4 inch BS Rod</v>
      </c>
      <c r="F266" s="268">
        <f ca="1">IF(B46&lt;=1000,4,8)</f>
        <v>8</v>
      </c>
      <c r="G266" s="268">
        <f ca="1">ROUNDUP(PI()*(B266/2)^2,0)</f>
        <v>284</v>
      </c>
      <c r="H266" s="268"/>
    </row>
    <row r="267" spans="1:13">
      <c r="A267" t="s">
        <v>426</v>
      </c>
      <c r="B267">
        <f ca="1">IF(B46&lt;1001,6,10)</f>
        <v>10</v>
      </c>
      <c r="C267" s="7">
        <f ca="1">IF(B46&lt;50,38,IF(B46&lt;401,50,80))</f>
        <v>80</v>
      </c>
      <c r="D267">
        <f ca="1">B94+2*C267</f>
        <v>2253</v>
      </c>
      <c r="E267" t="str">
        <f ca="1">C267&amp;"x"&amp;C267&amp;"x"&amp;B267&amp;" Angle Iron"</f>
        <v>80x80x10 Angle Iron</v>
      </c>
      <c r="F267">
        <v>2</v>
      </c>
      <c r="G267">
        <f ca="1">2*B267*C267-B267*B267</f>
        <v>1500</v>
      </c>
      <c r="H267">
        <f t="shared" ref="H267:H273" ca="1" si="4">G267*D267*F267*B$223</f>
        <v>53.058149999999998</v>
      </c>
    </row>
    <row r="268" spans="1:13">
      <c r="A268" t="s">
        <v>427</v>
      </c>
      <c r="B268">
        <f ca="1">IF(B46&lt;1001,6,10)</f>
        <v>10</v>
      </c>
      <c r="C268" s="7">
        <f ca="1">IF(B46&lt;50,38,IF(B46&lt;401,50,80))</f>
        <v>80</v>
      </c>
      <c r="D268">
        <f ca="1">B95</f>
        <v>936</v>
      </c>
      <c r="E268" t="str">
        <f ca="1">C268&amp;"x"&amp;C268&amp;"x"&amp;B268&amp;" Angle Iron"</f>
        <v>80x80x10 Angle Iron</v>
      </c>
      <c r="F268">
        <v>2</v>
      </c>
      <c r="G268">
        <f ca="1">2*B268*C268-B268*B268</f>
        <v>1500</v>
      </c>
      <c r="H268">
        <f t="shared" ca="1" si="4"/>
        <v>22.0428</v>
      </c>
      <c r="L268" s="16" t="s">
        <v>428</v>
      </c>
    </row>
    <row r="269" spans="1:13">
      <c r="A269" t="s">
        <v>429</v>
      </c>
      <c r="B269">
        <f ca="1">IF(B46&lt;200,6,IF(B46&lt;1001,10,20))</f>
        <v>20</v>
      </c>
      <c r="C269" s="7">
        <f ca="1">IF(B46&lt;1001,75,150)</f>
        <v>150</v>
      </c>
      <c r="D269" s="16">
        <f ca="1">B195</f>
        <v>329</v>
      </c>
      <c r="E269" t="str">
        <f ca="1">C269&amp;"x"&amp;B269&amp;" Flat Iron"</f>
        <v>150x20 Flat Iron</v>
      </c>
      <c r="F269">
        <f ca="1">IF(B46&lt;1001,0,2)</f>
        <v>2</v>
      </c>
      <c r="G269">
        <f ca="1">B269*C269</f>
        <v>3000</v>
      </c>
      <c r="H269">
        <f t="shared" ca="1" si="4"/>
        <v>15.495899999999999</v>
      </c>
    </row>
    <row r="270" spans="1:13">
      <c r="A270" t="s">
        <v>430</v>
      </c>
      <c r="B270">
        <f ca="1">IF(B46&lt;200,6,IF(B46&lt;1001,10,20))</f>
        <v>20</v>
      </c>
      <c r="C270" s="7">
        <f ca="1">IF(B46&lt;1001,75,150)</f>
        <v>150</v>
      </c>
      <c r="D270">
        <f ca="1">B144+50</f>
        <v>330</v>
      </c>
      <c r="E270" t="str">
        <f ca="1">C270&amp;"x"&amp;B270&amp;" Flat Iron"</f>
        <v>150x20 Flat Iron</v>
      </c>
      <c r="F270">
        <f ca="1">IF(B46&lt;1001,0,2)</f>
        <v>2</v>
      </c>
      <c r="G270">
        <f ca="1">B270*C270</f>
        <v>3000</v>
      </c>
      <c r="H270">
        <f t="shared" ca="1" si="4"/>
        <v>15.542999999999999</v>
      </c>
    </row>
    <row r="271" spans="1:13">
      <c r="A271" t="s">
        <v>431</v>
      </c>
      <c r="B271">
        <f ca="1">IF(B46&lt;801,10,20)</f>
        <v>20</v>
      </c>
      <c r="C271" s="7">
        <f ca="1">IF(B46&lt;1001,75,150)</f>
        <v>150</v>
      </c>
      <c r="D271">
        <f ca="1">D266+100</f>
        <v>605</v>
      </c>
      <c r="E271" t="str">
        <f ca="1">C271&amp;"x"&amp;B271&amp;" Flat Iron"</f>
        <v>150x20 Flat Iron</v>
      </c>
      <c r="F271">
        <v>2</v>
      </c>
      <c r="G271">
        <f ca="1">B271*C271</f>
        <v>3000</v>
      </c>
      <c r="H271">
        <f t="shared" ca="1" si="4"/>
        <v>28.495499999999996</v>
      </c>
    </row>
    <row r="272" spans="1:13">
      <c r="A272" t="s">
        <v>394</v>
      </c>
      <c r="B272" s="7" t="s">
        <v>46</v>
      </c>
      <c r="C272" s="7">
        <f ca="1">IF($B46&lt;100,B247,IF($B46&lt;401,B248,IF($B46&lt;1001,B249,IF($B46&lt;2501,B250,B251))))</f>
        <v>200</v>
      </c>
      <c r="D272">
        <f ca="1">IF(B46&lt;100,500,IF(B46&lt;251,600,IF(B46&lt;1001,800,1200)))</f>
        <v>1200</v>
      </c>
      <c r="E272" t="str">
        <f ca="1">IF($B46&lt;100,A247,IF($B46&lt;401,A248,IF($B46&lt;1001,A249,IF($B46&lt;2501,A250,A251))))</f>
        <v>250x75x9 MS Channel</v>
      </c>
      <c r="F272">
        <v>2</v>
      </c>
      <c r="G272">
        <f ca="1">IF($B46&lt;100,C247,IF($B46&lt;401,C248,IF($B46&lt;1001,C249,IF($B46&lt;2501,C250,C251))))</f>
        <v>2988</v>
      </c>
      <c r="H272">
        <f ca="1">G272*D272*F272*B$223</f>
        <v>56.293919999999993</v>
      </c>
    </row>
    <row r="273" spans="1:12">
      <c r="A273" t="s">
        <v>393</v>
      </c>
      <c r="B273" s="7">
        <f ca="1">IF(B46&lt;1001,4,6)</f>
        <v>6</v>
      </c>
      <c r="C273" s="7">
        <f ca="1">IF(B46&lt;1001,A186-30+B195/2,A186-30+60*2)</f>
        <v>390</v>
      </c>
      <c r="D273">
        <f ca="1">B94-10</f>
        <v>2083</v>
      </c>
      <c r="E273" t="str">
        <f ca="1">B273&amp;" mm MS Plate"</f>
        <v>6 mm MS Plate</v>
      </c>
      <c r="F273">
        <f ca="1">IF(E273=0,0,4)</f>
        <v>4</v>
      </c>
      <c r="G273">
        <f ca="1">B273*C273</f>
        <v>2340</v>
      </c>
      <c r="H273">
        <f t="shared" ca="1" si="4"/>
        <v>153.05050799999998</v>
      </c>
    </row>
    <row r="274" spans="1:12">
      <c r="A274" s="268" t="s">
        <v>432</v>
      </c>
      <c r="B274" s="268">
        <f ca="1">A186-A187</f>
        <v>10</v>
      </c>
      <c r="C274" s="268">
        <f ca="1">INT(B187/2+C275)</f>
        <v>89</v>
      </c>
      <c r="D274" s="268">
        <f ca="1">ROUNDUP(B142*2+A187+40,-1)</f>
        <v>1650</v>
      </c>
      <c r="E274" s="268">
        <f ca="1">IF(B143="T OV",Q!D274&amp;" x"&amp;Q!B274&amp;" x"&amp;Q!C274&amp;" mm",0)</f>
        <v>0</v>
      </c>
      <c r="F274" s="268">
        <f ca="1">IF(B$143="T OV",4,0)</f>
        <v>0</v>
      </c>
      <c r="G274" s="268">
        <f ca="1">B274*C274</f>
        <v>890</v>
      </c>
      <c r="H274" s="268"/>
    </row>
    <row r="275" spans="1:12">
      <c r="A275" s="268" t="s">
        <v>433</v>
      </c>
      <c r="B275" s="268">
        <f ca="1">IF(B46&lt;200,A187-10,A187-20)</f>
        <v>270</v>
      </c>
      <c r="C275" s="268">
        <f ca="1">IF(B46&lt;1000,25,IF(B46&lt;2000,40,50))</f>
        <v>50</v>
      </c>
      <c r="D275" s="268">
        <f ca="1">B94-20</f>
        <v>2073</v>
      </c>
      <c r="E275" s="268">
        <f ca="1">IF(B143="T OV",Q!D275&amp;" x"&amp;Q!C275&amp;" x"&amp;Q!B275&amp;" mm",0)</f>
        <v>0</v>
      </c>
      <c r="F275" s="268">
        <f ca="1">IF(B$143="T OV",4,0)</f>
        <v>0</v>
      </c>
      <c r="G275" s="268">
        <f ca="1">B275*C275</f>
        <v>13500</v>
      </c>
      <c r="H275" s="268"/>
    </row>
    <row r="276" spans="1:12">
      <c r="H276" s="1"/>
    </row>
    <row r="277" spans="1:12" ht="15.75">
      <c r="A277" s="52" t="s">
        <v>434</v>
      </c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2">
      <c r="A278" s="49" t="s">
        <v>435</v>
      </c>
      <c r="B278" s="49" t="str">
        <f ca="1">IF(C278=0,"NO",IF(B37=B43,"YES","NO"))</f>
        <v>YES</v>
      </c>
      <c r="C278">
        <f ca="1">VALUE(LEFT(P!H95,FIND("/",P!H95,1)-1))</f>
        <v>71</v>
      </c>
    </row>
    <row r="279" spans="1:12">
      <c r="A279" s="16" t="str">
        <f ca="1">TRIM(P!H94)</f>
        <v>6 14 1300.0 mm</v>
      </c>
      <c r="B279">
        <f ca="1">IF(ISERROR(FIND(" ",A279,1)),0,FIND(" ",A279,1))</f>
        <v>2</v>
      </c>
      <c r="C279">
        <f ca="1">IF(ISERROR(FIND(" ",A279,B279+1)),0,FIND(" ",A279,B279+1))</f>
        <v>5</v>
      </c>
      <c r="D279" s="169">
        <f ca="1">IF(ISERROR(FIND(".",A279,C279+1)),0,FIND(".",A279,C279+1))</f>
        <v>10</v>
      </c>
    </row>
    <row r="280" spans="1:12">
      <c r="A280" s="16" t="s">
        <v>436</v>
      </c>
      <c r="B280">
        <f ca="1">IF(B278="NO",0,VALUE(LEFT(A279,B279)))</f>
        <v>6</v>
      </c>
    </row>
    <row r="281" spans="1:12">
      <c r="A281" s="16" t="s">
        <v>437</v>
      </c>
      <c r="B281" t="str">
        <f ca="1">IF(ISERROR(TRIM(MID(A279,B279,C279-B279))),0,TRIM(MID(A279,B279,C279-B279)))</f>
        <v>14</v>
      </c>
    </row>
    <row r="282" spans="1:12">
      <c r="A282" s="16" t="s">
        <v>438</v>
      </c>
      <c r="B282" s="169" t="str">
        <f ca="1">IF(ISERROR(TRIM(MID(A279,C279,D279-C279))),0,TRIM(MID(A279,C279,D279-C279)))</f>
        <v>1300</v>
      </c>
    </row>
    <row r="283" spans="1:12">
      <c r="A283" s="16" t="s">
        <v>439</v>
      </c>
      <c r="B283" s="170">
        <f ca="1">110+(B281-1)*40+20</f>
        <v>650</v>
      </c>
    </row>
    <row r="284" spans="1:12">
      <c r="A284" s="40" t="s">
        <v>440</v>
      </c>
      <c r="B284" s="41">
        <v>150</v>
      </c>
    </row>
    <row r="285" spans="1:12">
      <c r="A285" s="40" t="s">
        <v>441</v>
      </c>
      <c r="B285" s="41">
        <v>520</v>
      </c>
    </row>
    <row r="286" spans="1:12">
      <c r="A286" s="40" t="s">
        <v>442</v>
      </c>
      <c r="B286" s="41">
        <v>80</v>
      </c>
    </row>
    <row r="287" spans="1:12">
      <c r="A287" s="40" t="s">
        <v>443</v>
      </c>
      <c r="B287" s="41">
        <v>131</v>
      </c>
    </row>
    <row r="288" spans="1:12">
      <c r="A288" s="40"/>
      <c r="B288" s="41"/>
    </row>
    <row r="289" spans="1:9" s="34" customFormat="1" ht="13.15" customHeight="1">
      <c r="A289" s="300" t="s">
        <v>444</v>
      </c>
      <c r="B289" s="300" t="s">
        <v>196</v>
      </c>
      <c r="C289" s="300" t="s">
        <v>197</v>
      </c>
      <c r="D289" s="300" t="s">
        <v>445</v>
      </c>
      <c r="E289" s="300" t="s">
        <v>446</v>
      </c>
      <c r="F289" s="300" t="s">
        <v>447</v>
      </c>
      <c r="G289" s="301" t="s">
        <v>448</v>
      </c>
      <c r="H289" s="299"/>
      <c r="I289" s="299"/>
    </row>
    <row r="290" spans="1:9">
      <c r="A290" s="241">
        <v>1</v>
      </c>
      <c r="B290" s="241">
        <v>1</v>
      </c>
      <c r="C290" s="241">
        <f t="shared" ref="C290:C297" ca="1" si="5">IF(($B$94-$B$110)/2&gt;$B$284/2,IF(MIN(A290-B290,2)&lt;0,0,MIN(A290-B290,2)),0)</f>
        <v>0</v>
      </c>
      <c r="D290" s="241">
        <f ca="1">IF(MIN(A290-B290-C290,2)&lt;0,0,MIN(A290-B290-C290,2))</f>
        <v>0</v>
      </c>
      <c r="E290" s="241">
        <f ca="1">IF(MIN(A290-B290-C290-D290,2)&lt;0,0,MIN(A290-B290-C290-D290,2))</f>
        <v>0</v>
      </c>
      <c r="F290" s="241">
        <f ca="1">IF(D290&gt;0,$B$283,0)+IF(E290&gt;0,$B$283,0)</f>
        <v>0</v>
      </c>
      <c r="G290" s="241">
        <f ca="1">IF(B290&gt;0,$B$283,0)+IF(C290&gt;0,$B$283,0)</f>
        <v>650</v>
      </c>
    </row>
    <row r="291" spans="1:9">
      <c r="A291" s="241">
        <v>1</v>
      </c>
      <c r="B291" s="241">
        <f t="shared" ref="B291:B297" ca="1" si="6">IF(($B$94-$B$108)/2&gt;$B$284/2,2,0)</f>
        <v>2</v>
      </c>
      <c r="C291" s="241">
        <f t="shared" ca="1" si="5"/>
        <v>0</v>
      </c>
      <c r="D291" s="241">
        <f ca="1">IF(MIN(A291-B291-C291,2)&lt;0,0,MIN(A291-B291-C291,2))</f>
        <v>0</v>
      </c>
      <c r="E291" s="241">
        <f ca="1">IF(MIN(A291-B291-C291-D291,2)&lt;0,0,MIN(A291-B291-C291-D291,2))</f>
        <v>0</v>
      </c>
      <c r="F291" s="241">
        <f t="shared" ref="F291:F297" ca="1" si="7">IF(D291&gt;0,$B$283,0)+IF(E291&gt;0,$B$283,0)</f>
        <v>0</v>
      </c>
      <c r="G291" s="241">
        <f t="shared" ref="G291:G297" ca="1" si="8">IF(B291&gt;0,$B$283,0)+IF(C291&gt;0,$B$283,0)</f>
        <v>650</v>
      </c>
    </row>
    <row r="292" spans="1:9">
      <c r="A292" s="241">
        <v>3</v>
      </c>
      <c r="B292" s="241">
        <f t="shared" ca="1" si="6"/>
        <v>2</v>
      </c>
      <c r="C292" s="241">
        <f t="shared" ca="1" si="5"/>
        <v>1</v>
      </c>
      <c r="D292" s="241">
        <f t="shared" ref="D292:D297" ca="1" si="9">IF(MIN(A292-B292-C292,2)&lt;0,0,MIN(A292-B292-C292,2))</f>
        <v>0</v>
      </c>
      <c r="E292" s="241">
        <f t="shared" ref="E292:E297" ca="1" si="10">IF(MIN(A292-B292-C292-D292,2)&lt;0,0,MIN(A292-B292-C292-D292,2))</f>
        <v>0</v>
      </c>
      <c r="F292" s="241">
        <f t="shared" ca="1" si="7"/>
        <v>0</v>
      </c>
      <c r="G292" s="241">
        <f t="shared" ca="1" si="8"/>
        <v>1300</v>
      </c>
    </row>
    <row r="293" spans="1:9">
      <c r="A293" s="241">
        <v>4</v>
      </c>
      <c r="B293" s="241">
        <f t="shared" ca="1" si="6"/>
        <v>2</v>
      </c>
      <c r="C293" s="241">
        <f t="shared" ca="1" si="5"/>
        <v>2</v>
      </c>
      <c r="D293" s="241">
        <f t="shared" ca="1" si="9"/>
        <v>0</v>
      </c>
      <c r="E293" s="241">
        <f t="shared" ca="1" si="10"/>
        <v>0</v>
      </c>
      <c r="F293" s="241">
        <f t="shared" ca="1" si="7"/>
        <v>0</v>
      </c>
      <c r="G293" s="241">
        <f t="shared" ca="1" si="8"/>
        <v>1300</v>
      </c>
    </row>
    <row r="294" spans="1:9">
      <c r="A294" s="241">
        <v>5</v>
      </c>
      <c r="B294" s="241">
        <f t="shared" ca="1" si="6"/>
        <v>2</v>
      </c>
      <c r="C294" s="241">
        <f t="shared" ca="1" si="5"/>
        <v>2</v>
      </c>
      <c r="D294" s="241">
        <f t="shared" ca="1" si="9"/>
        <v>1</v>
      </c>
      <c r="E294" s="241">
        <f t="shared" ca="1" si="10"/>
        <v>0</v>
      </c>
      <c r="F294" s="241">
        <f t="shared" ca="1" si="7"/>
        <v>650</v>
      </c>
      <c r="G294" s="241">
        <f t="shared" ca="1" si="8"/>
        <v>1300</v>
      </c>
    </row>
    <row r="295" spans="1:9">
      <c r="A295" s="241">
        <v>6</v>
      </c>
      <c r="B295" s="241">
        <f t="shared" ca="1" si="6"/>
        <v>2</v>
      </c>
      <c r="C295" s="241">
        <f t="shared" ca="1" si="5"/>
        <v>2</v>
      </c>
      <c r="D295" s="241">
        <f t="shared" ca="1" si="9"/>
        <v>2</v>
      </c>
      <c r="E295" s="241">
        <f t="shared" ca="1" si="10"/>
        <v>0</v>
      </c>
      <c r="F295" s="241">
        <f t="shared" ca="1" si="7"/>
        <v>650</v>
      </c>
      <c r="G295" s="241">
        <f t="shared" ca="1" si="8"/>
        <v>1300</v>
      </c>
    </row>
    <row r="296" spans="1:9">
      <c r="A296" s="241">
        <v>7</v>
      </c>
      <c r="B296" s="241">
        <f t="shared" ca="1" si="6"/>
        <v>2</v>
      </c>
      <c r="C296" s="241">
        <f t="shared" ca="1" si="5"/>
        <v>2</v>
      </c>
      <c r="D296" s="241">
        <f t="shared" ca="1" si="9"/>
        <v>2</v>
      </c>
      <c r="E296" s="241">
        <f t="shared" ca="1" si="10"/>
        <v>1</v>
      </c>
      <c r="F296" s="241">
        <f t="shared" ca="1" si="7"/>
        <v>1300</v>
      </c>
      <c r="G296" s="241">
        <f t="shared" ca="1" si="8"/>
        <v>1300</v>
      </c>
    </row>
    <row r="297" spans="1:9">
      <c r="A297" s="241">
        <v>8</v>
      </c>
      <c r="B297" s="241">
        <f t="shared" ca="1" si="6"/>
        <v>2</v>
      </c>
      <c r="C297" s="241">
        <f t="shared" ca="1" si="5"/>
        <v>2</v>
      </c>
      <c r="D297" s="241">
        <f t="shared" ca="1" si="9"/>
        <v>2</v>
      </c>
      <c r="E297" s="241">
        <f t="shared" ca="1" si="10"/>
        <v>2</v>
      </c>
      <c r="F297" s="241">
        <f t="shared" ca="1" si="7"/>
        <v>1300</v>
      </c>
      <c r="G297" s="241">
        <f t="shared" ca="1" si="8"/>
        <v>1300</v>
      </c>
    </row>
    <row r="298" spans="1:9">
      <c r="B298" s="7"/>
      <c r="C298" s="7"/>
      <c r="D298" s="7"/>
      <c r="E298" s="7"/>
    </row>
    <row r="299" spans="1:9">
      <c r="A299" s="16" t="s">
        <v>449</v>
      </c>
      <c r="B299" s="4">
        <f ca="1">IF(ISERROR(LEFT(P!E96,Q!D299-1)),0,LEFT(P!E96,Q!D299-1))</f>
        <v>0</v>
      </c>
      <c r="C299" t="e">
        <f ca="1">FIND("/",P!E96,D299+1)</f>
        <v>#VALUE!</v>
      </c>
      <c r="D299" t="e">
        <f ca="1">FIND("/",P!E96,1)</f>
        <v>#VALUE!</v>
      </c>
    </row>
    <row r="300" spans="1:9">
      <c r="A300" s="16" t="s">
        <v>450</v>
      </c>
      <c r="B300" s="4">
        <f ca="1">IF(ISERROR(MID(P!E96,Q!D299+1,Q!C299-Q!D299-1)),0,MID(P!E96,Q!D299+1,Q!C299-Q!D299-1))</f>
        <v>0</v>
      </c>
    </row>
    <row r="301" spans="1:9">
      <c r="A301" s="16" t="s">
        <v>451</v>
      </c>
      <c r="B301" s="4">
        <f ca="1">IF(ISERROR(LEFT(P!H94,Q!C301-1)),0,LEFT(P!H94,Q!C301-1))</f>
        <v>0</v>
      </c>
      <c r="C301" t="e">
        <f ca="1">FIND("/",P!H94,1)</f>
        <v>#VALUE!</v>
      </c>
    </row>
    <row r="302" spans="1:9">
      <c r="A302" s="16" t="s">
        <v>452</v>
      </c>
      <c r="B302" s="4">
        <f ca="1">IF(ISERROR(C302/D302),0,LEFT(P!H94,Q!C301-1))</f>
        <v>0</v>
      </c>
      <c r="C302" t="e">
        <f ca="1">IF(D302&gt;=1.5,1.5,1.2)</f>
        <v>#VALUE!</v>
      </c>
      <c r="D302" s="4" t="e">
        <f ca="1">VALUE(LEFT(P!E97,Q!F302-1))</f>
        <v>#VALUE!</v>
      </c>
      <c r="E302" t="e">
        <f ca="1">FIND("/",P!E97,F302+1)</f>
        <v>#VALUE!</v>
      </c>
      <c r="F302" t="e">
        <f ca="1">FIND("/",P!E97,1)</f>
        <v>#VALUE!</v>
      </c>
    </row>
    <row r="303" spans="1:9" s="2" customFormat="1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4.25" customHeight="1">
      <c r="A304" s="36"/>
      <c r="B304" s="19"/>
      <c r="C304" s="26"/>
      <c r="D304" s="35"/>
      <c r="E304" s="26"/>
    </row>
    <row r="305" spans="1:8" s="155" customFormat="1">
      <c r="A305" s="155" t="s">
        <v>453</v>
      </c>
      <c r="B305" s="157"/>
      <c r="C305" s="157"/>
      <c r="D305" s="158">
        <f>D$14</f>
        <v>0</v>
      </c>
      <c r="E305" s="157" t="e">
        <f>INDEX(#REF!, MATCH(A305,#REF!,0), MATCH(D305,#REF!,0))</f>
        <v>#REF!</v>
      </c>
    </row>
    <row r="306" spans="1:8" s="155" customFormat="1">
      <c r="B306" s="157">
        <v>10</v>
      </c>
      <c r="C306" s="157"/>
      <c r="D306" s="157"/>
      <c r="E306" s="157" t="e">
        <f ca="1">IF(B37=B43,E305*B306/100,0)</f>
        <v>#REF!</v>
      </c>
    </row>
    <row r="307" spans="1:8" s="155" customFormat="1">
      <c r="B307" s="157">
        <v>10</v>
      </c>
      <c r="C307" s="157"/>
      <c r="D307" s="157"/>
      <c r="E307" s="157">
        <f>IF(B39=B44,E305*B306/100,0)</f>
        <v>0</v>
      </c>
    </row>
    <row r="308" spans="1:8" s="155" customFormat="1">
      <c r="B308" s="156"/>
      <c r="D308" s="156"/>
      <c r="E308" s="156" t="e">
        <f>SUM(E305:E307)</f>
        <v>#REF!</v>
      </c>
    </row>
    <row r="309" spans="1:8">
      <c r="A309" s="54"/>
      <c r="B309" s="55"/>
      <c r="C309" s="56"/>
      <c r="D309" s="53"/>
      <c r="E309" s="56"/>
      <c r="F309" s="53"/>
      <c r="G309" s="56"/>
    </row>
    <row r="310" spans="1:8" ht="15.75">
      <c r="A310" s="52" t="s">
        <v>454</v>
      </c>
      <c r="B310" s="51"/>
      <c r="C310" s="51"/>
      <c r="D310" s="51"/>
      <c r="E310" s="51"/>
      <c r="F310" s="51"/>
      <c r="G310" s="51"/>
    </row>
    <row r="311" spans="1:8">
      <c r="A311" s="44" t="s">
        <v>455</v>
      </c>
      <c r="B311" s="44" t="str">
        <f>VLOOKUP(1,A315:G328,6,FALSE)</f>
        <v>10 NF 250 CD = 372 mm P-4 EN</v>
      </c>
      <c r="C311" s="44"/>
      <c r="D311" s="44"/>
      <c r="E311" s="44">
        <f>VLOOKUP(1,A315:G328,5,FALSE)</f>
        <v>310</v>
      </c>
      <c r="F311" s="44">
        <f ca="1">IF(B77="D",3,IF(OR(B77="YN",B77="ZN"),4,2))</f>
        <v>3</v>
      </c>
      <c r="G311" s="44">
        <f>VLOOKUP(1,A315:G328,7,FALSE)</f>
        <v>5.65</v>
      </c>
      <c r="H311">
        <v>3</v>
      </c>
    </row>
    <row r="312" spans="1:8">
      <c r="A312" s="45">
        <f ca="1">VALUE(MID(P!E19,FIND(":",P!E19)+1,IF(ISERROR(FIND("(",P!E19)),FIND("S",P!E19),FIND("(",P!E19))-FIND(":",P!E19)-1))</f>
        <v>170</v>
      </c>
      <c r="B312" s="45">
        <f ca="1">IF(B47/1000&lt;13,12,IF(B47/1000&lt;24,24,IF(B47/1000&lt;37,36,IF(B47/1000&lt;43,42,IF(B47/1000&lt;53,52)))))</f>
        <v>36</v>
      </c>
      <c r="C312" s="45" cm="1">
        <f t="array" aca="1" ref="C312" ca="1">MIN(IF(C315:C328&gt;=A312,C315:C328))</f>
        <v>170</v>
      </c>
      <c r="D312" s="45" cm="1">
        <f t="array" aca="1" ref="D312" ca="1">MIN(IF(D315:D328&gt;B54,D315:D328))</f>
        <v>250</v>
      </c>
      <c r="E312" s="45"/>
      <c r="F312" s="16"/>
      <c r="G312" s="16"/>
      <c r="H312">
        <v>4</v>
      </c>
    </row>
    <row r="313" spans="1:8">
      <c r="A313" s="265" t="s">
        <v>456</v>
      </c>
      <c r="B313" s="280" t="s">
        <v>457</v>
      </c>
      <c r="C313" s="280" t="s">
        <v>458</v>
      </c>
      <c r="D313" s="280" t="s">
        <v>459</v>
      </c>
      <c r="E313" s="280" t="s">
        <v>460</v>
      </c>
      <c r="F313" s="280" t="s">
        <v>420</v>
      </c>
      <c r="G313" s="280" t="s">
        <v>461</v>
      </c>
    </row>
    <row r="314" spans="1:8">
      <c r="A314" s="265"/>
      <c r="B314" s="280"/>
      <c r="C314" s="280"/>
      <c r="D314" s="280"/>
      <c r="E314" s="280"/>
      <c r="F314" s="280"/>
      <c r="G314" s="280"/>
    </row>
    <row r="315" spans="1:8">
      <c r="A315" s="241">
        <v>1</v>
      </c>
      <c r="B315" s="241">
        <v>12</v>
      </c>
      <c r="C315" s="280">
        <v>75</v>
      </c>
      <c r="D315" s="241">
        <v>250</v>
      </c>
      <c r="E315" s="265">
        <v>310</v>
      </c>
      <c r="F315" s="266" t="s">
        <v>462</v>
      </c>
      <c r="G315" s="241">
        <v>5.65</v>
      </c>
    </row>
    <row r="316" spans="1:8">
      <c r="A316" s="241">
        <f ca="1">IF(AND($B$312=B316,$C$312=C316,$D$312=D316),1,0)</f>
        <v>0</v>
      </c>
      <c r="B316" s="241">
        <v>12</v>
      </c>
      <c r="C316" s="280">
        <v>75</v>
      </c>
      <c r="D316" s="241">
        <v>630</v>
      </c>
      <c r="E316" s="265">
        <v>342</v>
      </c>
      <c r="F316" s="266" t="s">
        <v>463</v>
      </c>
      <c r="G316" s="241">
        <v>8</v>
      </c>
    </row>
    <row r="317" spans="1:8">
      <c r="A317" s="241">
        <v>0</v>
      </c>
      <c r="B317" s="241">
        <v>12</v>
      </c>
      <c r="C317" s="280">
        <v>75</v>
      </c>
      <c r="D317" s="241">
        <v>250</v>
      </c>
      <c r="E317" s="265">
        <v>150</v>
      </c>
      <c r="F317" s="266" t="s">
        <v>464</v>
      </c>
      <c r="G317" s="241">
        <v>5</v>
      </c>
    </row>
    <row r="318" spans="1:8">
      <c r="A318" s="241">
        <f t="shared" ref="A318:A328" ca="1" si="11">IF(AND($B$312=B318,$C$312=C318,$D$312=D318),1,0)</f>
        <v>0</v>
      </c>
      <c r="B318" s="241">
        <v>24</v>
      </c>
      <c r="C318" s="280">
        <v>125</v>
      </c>
      <c r="D318" s="241">
        <v>250</v>
      </c>
      <c r="E318" s="265">
        <v>310</v>
      </c>
      <c r="F318" s="266" t="s">
        <v>465</v>
      </c>
      <c r="G318" s="241">
        <v>5.65</v>
      </c>
    </row>
    <row r="319" spans="1:8">
      <c r="A319" s="241">
        <f t="shared" ca="1" si="11"/>
        <v>0</v>
      </c>
      <c r="B319" s="241">
        <v>24</v>
      </c>
      <c r="C319" s="280">
        <v>125</v>
      </c>
      <c r="D319" s="241">
        <v>250</v>
      </c>
      <c r="E319" s="265">
        <v>150</v>
      </c>
      <c r="F319" s="266" t="s">
        <v>466</v>
      </c>
      <c r="G319" s="241">
        <v>5</v>
      </c>
    </row>
    <row r="320" spans="1:8">
      <c r="A320" s="241">
        <f t="shared" ca="1" si="11"/>
        <v>0</v>
      </c>
      <c r="B320" s="241">
        <v>24</v>
      </c>
      <c r="C320" s="280">
        <v>125</v>
      </c>
      <c r="D320" s="241">
        <v>630</v>
      </c>
      <c r="E320" s="265">
        <v>150</v>
      </c>
      <c r="F320" s="266" t="s">
        <v>467</v>
      </c>
      <c r="G320" s="241">
        <v>6.5</v>
      </c>
    </row>
    <row r="321" spans="1:10">
      <c r="A321" s="241">
        <f t="shared" ca="1" si="11"/>
        <v>0</v>
      </c>
      <c r="B321" s="241">
        <v>36</v>
      </c>
      <c r="C321" s="280">
        <v>200</v>
      </c>
      <c r="D321" s="241">
        <v>250</v>
      </c>
      <c r="E321" s="265">
        <v>520</v>
      </c>
      <c r="F321" s="266" t="s">
        <v>468</v>
      </c>
      <c r="G321" s="241">
        <v>9.35</v>
      </c>
    </row>
    <row r="322" spans="1:10">
      <c r="A322" s="241">
        <f t="shared" ca="1" si="11"/>
        <v>0</v>
      </c>
      <c r="B322" s="241">
        <v>36</v>
      </c>
      <c r="C322" s="280">
        <v>200</v>
      </c>
      <c r="D322" s="241">
        <v>250</v>
      </c>
      <c r="E322" s="265">
        <v>520</v>
      </c>
      <c r="F322" s="266" t="s">
        <v>469</v>
      </c>
      <c r="G322" s="241">
        <v>12.55</v>
      </c>
    </row>
    <row r="323" spans="1:10">
      <c r="A323" s="241">
        <f t="shared" ca="1" si="11"/>
        <v>0</v>
      </c>
      <c r="B323" s="241">
        <v>36</v>
      </c>
      <c r="C323" s="280">
        <v>200</v>
      </c>
      <c r="D323" s="241">
        <v>250</v>
      </c>
      <c r="E323" s="265">
        <v>520</v>
      </c>
      <c r="F323" s="266" t="s">
        <v>470</v>
      </c>
      <c r="G323" s="241">
        <v>12.55</v>
      </c>
    </row>
    <row r="324" spans="1:10">
      <c r="A324" s="241">
        <f t="shared" ca="1" si="11"/>
        <v>1</v>
      </c>
      <c r="B324" s="241">
        <v>36</v>
      </c>
      <c r="C324" s="280">
        <v>170</v>
      </c>
      <c r="D324" s="241">
        <v>250</v>
      </c>
      <c r="E324" s="265">
        <v>150</v>
      </c>
      <c r="F324" s="266" t="s">
        <v>471</v>
      </c>
      <c r="G324" s="241">
        <v>5</v>
      </c>
    </row>
    <row r="325" spans="1:10">
      <c r="A325" s="241">
        <f t="shared" ca="1" si="11"/>
        <v>0</v>
      </c>
      <c r="B325" s="241">
        <v>36</v>
      </c>
      <c r="C325" s="280">
        <v>170</v>
      </c>
      <c r="D325" s="241">
        <v>630</v>
      </c>
      <c r="E325" s="265">
        <v>150</v>
      </c>
      <c r="F325" s="266" t="s">
        <v>472</v>
      </c>
      <c r="G325" s="241">
        <v>6.5</v>
      </c>
    </row>
    <row r="326" spans="1:10">
      <c r="A326" s="241">
        <f t="shared" ca="1" si="11"/>
        <v>0</v>
      </c>
      <c r="B326" s="241">
        <v>52</v>
      </c>
      <c r="C326" s="280">
        <v>250</v>
      </c>
      <c r="D326" s="241">
        <v>1000</v>
      </c>
      <c r="E326" s="265">
        <v>150</v>
      </c>
      <c r="F326" s="266" t="s">
        <v>473</v>
      </c>
      <c r="G326" s="241">
        <v>8</v>
      </c>
    </row>
    <row r="327" spans="1:10">
      <c r="A327" s="241">
        <f t="shared" ca="1" si="11"/>
        <v>0</v>
      </c>
      <c r="B327" s="241">
        <v>42</v>
      </c>
      <c r="C327" s="280">
        <v>200</v>
      </c>
      <c r="D327" s="241">
        <v>250</v>
      </c>
      <c r="E327" s="265">
        <v>500</v>
      </c>
      <c r="F327" s="266" t="s">
        <v>474</v>
      </c>
      <c r="G327" s="241">
        <v>15</v>
      </c>
    </row>
    <row r="328" spans="1:10">
      <c r="A328" s="241">
        <f t="shared" ca="1" si="11"/>
        <v>0</v>
      </c>
      <c r="B328" s="241">
        <v>52</v>
      </c>
      <c r="C328" s="265">
        <v>250</v>
      </c>
      <c r="D328" s="280">
        <v>1000</v>
      </c>
      <c r="E328" s="265">
        <v>730</v>
      </c>
      <c r="F328" s="266" t="s">
        <v>475</v>
      </c>
      <c r="G328" s="265">
        <v>35.200000000000003</v>
      </c>
    </row>
    <row r="329" spans="1:10">
      <c r="E329" s="14"/>
    </row>
    <row r="330" spans="1:10">
      <c r="A330" s="44" t="s">
        <v>476</v>
      </c>
      <c r="B330" s="44" t="e">
        <f ca="1">VLOOKUP(1,A334:F346,6,FALSE)</f>
        <v>#N/A</v>
      </c>
      <c r="C330" s="44"/>
      <c r="D330" s="44" t="e">
        <f ca="1">VLOOKUP(1,A334:F346,4,FALSE)</f>
        <v>#N/A</v>
      </c>
      <c r="E330" s="44" t="e">
        <f ca="1">VLOOKUP(1,A334:F346,5,FALSE)</f>
        <v>#N/A</v>
      </c>
      <c r="F330" s="285" cm="1">
        <f t="array" aca="1" ref="F330" ca="1">IF(OR(B76="yn",B76="zn"),IF(MIN(IF(G334:G346&gt;A331*1.2,G334:G346))=0,8,4),IF(B76="D",IF(MIN(IF(G334:G346&gt;A331*1.2,G334:G346))=0,6,3),2))</f>
        <v>8</v>
      </c>
      <c r="G330" s="286"/>
      <c r="H330">
        <v>3</v>
      </c>
      <c r="I330" s="46"/>
    </row>
    <row r="331" spans="1:10">
      <c r="A331" s="159">
        <f ca="1">VALUE(B50)</f>
        <v>5564.8220000000001</v>
      </c>
      <c r="B331" s="159">
        <f ca="1">IF(B48/1000&lt;1.1,1,IF(B48/1000&lt;13,12,24))</f>
        <v>1</v>
      </c>
      <c r="C331" s="159" cm="1">
        <f t="array" aca="1" ref="C331" ca="1">MIN(IF(C334:C346&gt;=A331*1.2,C334:C346))</f>
        <v>0</v>
      </c>
      <c r="D331" s="284"/>
      <c r="E331" s="159"/>
      <c r="F331" s="1"/>
      <c r="H331">
        <v>4</v>
      </c>
    </row>
    <row r="332" spans="1:10">
      <c r="A332" s="265" t="s">
        <v>456</v>
      </c>
      <c r="B332" s="280" t="s">
        <v>457</v>
      </c>
      <c r="C332" s="280" t="s">
        <v>459</v>
      </c>
      <c r="D332" s="280" t="s">
        <v>460</v>
      </c>
      <c r="E332" s="280" t="s">
        <v>461</v>
      </c>
      <c r="F332" s="280" t="s">
        <v>420</v>
      </c>
      <c r="H332">
        <v>6</v>
      </c>
    </row>
    <row r="333" spans="1:10">
      <c r="A333" s="265"/>
      <c r="B333" s="280"/>
      <c r="C333" s="280"/>
      <c r="D333" s="280"/>
      <c r="E333" s="280"/>
      <c r="F333" s="280"/>
      <c r="H333">
        <v>8</v>
      </c>
    </row>
    <row r="334" spans="1:10">
      <c r="A334" s="265">
        <f ca="1">IF(AND($B$331=B334,$C$331=C334),1,0)</f>
        <v>0</v>
      </c>
      <c r="B334" s="241">
        <v>1</v>
      </c>
      <c r="C334" s="265">
        <v>250</v>
      </c>
      <c r="D334" s="280">
        <v>120</v>
      </c>
      <c r="E334" s="265">
        <v>0.43</v>
      </c>
      <c r="F334" s="266" t="s">
        <v>477</v>
      </c>
      <c r="G334" s="265">
        <v>250</v>
      </c>
      <c r="H334" s="14"/>
      <c r="J334" s="16"/>
    </row>
    <row r="335" spans="1:10">
      <c r="A335" s="265">
        <f t="shared" ref="A335:A346" ca="1" si="12">IF(AND($B$331=B335,$C$331=C335),1,0)</f>
        <v>0</v>
      </c>
      <c r="B335" s="241">
        <v>1</v>
      </c>
      <c r="C335" s="265">
        <v>630</v>
      </c>
      <c r="D335" s="280">
        <v>165</v>
      </c>
      <c r="E335" s="265">
        <v>1.1599999999999999</v>
      </c>
      <c r="F335" s="266" t="s">
        <v>478</v>
      </c>
      <c r="G335" s="265">
        <v>630</v>
      </c>
      <c r="H335" s="14"/>
      <c r="J335" s="16"/>
    </row>
    <row r="336" spans="1:10">
      <c r="A336" s="265">
        <f ca="1">IF(AND($B$331=B336,$C$331=C336),1,0)</f>
        <v>0</v>
      </c>
      <c r="B336" s="241">
        <v>1</v>
      </c>
      <c r="C336" s="265">
        <v>1250</v>
      </c>
      <c r="D336" s="280">
        <v>177</v>
      </c>
      <c r="E336" s="265">
        <v>2.73</v>
      </c>
      <c r="F336" s="266" t="s">
        <v>479</v>
      </c>
      <c r="G336" s="265">
        <v>1250</v>
      </c>
      <c r="H336" s="14"/>
      <c r="J336" s="16"/>
    </row>
    <row r="337" spans="1:10">
      <c r="A337" s="265">
        <f t="shared" ca="1" si="12"/>
        <v>0</v>
      </c>
      <c r="B337" s="241">
        <v>1</v>
      </c>
      <c r="C337" s="265">
        <v>2000</v>
      </c>
      <c r="D337" s="280">
        <v>240</v>
      </c>
      <c r="E337" s="265">
        <v>6.24</v>
      </c>
      <c r="F337" s="266" t="s">
        <v>480</v>
      </c>
      <c r="G337" s="265">
        <v>2000</v>
      </c>
      <c r="H337" s="14"/>
      <c r="J337" s="16"/>
    </row>
    <row r="338" spans="1:10">
      <c r="A338" s="265">
        <f ca="1">IF(AND($B$331=B338,$C$331=C338),1,0)</f>
        <v>0</v>
      </c>
      <c r="B338" s="241">
        <v>1</v>
      </c>
      <c r="C338" s="265">
        <v>2500</v>
      </c>
      <c r="D338" s="280">
        <v>177</v>
      </c>
      <c r="E338" s="265">
        <v>2.73</v>
      </c>
      <c r="F338" s="266" t="s">
        <v>479</v>
      </c>
      <c r="G338" s="265">
        <v>1250</v>
      </c>
      <c r="H338" s="14"/>
      <c r="J338" s="16"/>
    </row>
    <row r="339" spans="1:10">
      <c r="A339" s="265">
        <f t="shared" ca="1" si="12"/>
        <v>0</v>
      </c>
      <c r="B339" s="241">
        <v>1</v>
      </c>
      <c r="C339" s="265">
        <v>3150</v>
      </c>
      <c r="D339" s="280">
        <v>250</v>
      </c>
      <c r="E339" s="265">
        <v>8.4499999999999993</v>
      </c>
      <c r="F339" s="266" t="s">
        <v>481</v>
      </c>
      <c r="G339" s="265">
        <v>3150</v>
      </c>
      <c r="H339" s="14"/>
      <c r="J339" s="16"/>
    </row>
    <row r="340" spans="1:10">
      <c r="A340" s="265">
        <f t="shared" ref="A340:A341" ca="1" si="13">IF(AND($B$331=B340,$C$331=C340),1,0)</f>
        <v>0</v>
      </c>
      <c r="B340" s="241">
        <v>1</v>
      </c>
      <c r="C340" s="265">
        <v>4000</v>
      </c>
      <c r="D340" s="280">
        <v>240</v>
      </c>
      <c r="E340" s="265">
        <v>6.24</v>
      </c>
      <c r="F340" s="266" t="s">
        <v>480</v>
      </c>
      <c r="G340" s="265">
        <v>2000</v>
      </c>
      <c r="H340" s="14"/>
      <c r="J340" s="16"/>
    </row>
    <row r="341" spans="1:10">
      <c r="A341" s="265">
        <f t="shared" ca="1" si="13"/>
        <v>0</v>
      </c>
      <c r="B341" s="241">
        <v>1</v>
      </c>
      <c r="C341" s="265">
        <v>6300</v>
      </c>
      <c r="D341" s="280">
        <v>250</v>
      </c>
      <c r="E341" s="265">
        <v>8.4499999999999993</v>
      </c>
      <c r="F341" s="266" t="s">
        <v>481</v>
      </c>
      <c r="G341" s="265">
        <v>3150</v>
      </c>
      <c r="H341" s="14"/>
      <c r="J341" s="16"/>
    </row>
    <row r="342" spans="1:10">
      <c r="A342" s="265">
        <f t="shared" ca="1" si="12"/>
        <v>0</v>
      </c>
      <c r="B342" s="241">
        <v>12</v>
      </c>
      <c r="C342" s="265">
        <v>250</v>
      </c>
      <c r="D342" s="280">
        <v>310</v>
      </c>
      <c r="E342" s="265">
        <v>5.65</v>
      </c>
      <c r="F342" s="266" t="s">
        <v>482</v>
      </c>
      <c r="G342" s="265">
        <v>250</v>
      </c>
      <c r="H342" s="14"/>
      <c r="J342" s="16"/>
    </row>
    <row r="343" spans="1:10">
      <c r="A343" s="265">
        <f t="shared" ca="1" si="12"/>
        <v>0</v>
      </c>
      <c r="B343" s="241">
        <v>12</v>
      </c>
      <c r="C343" s="265">
        <v>630</v>
      </c>
      <c r="D343" s="280">
        <v>310</v>
      </c>
      <c r="E343" s="265">
        <v>8</v>
      </c>
      <c r="F343" s="266" t="s">
        <v>463</v>
      </c>
      <c r="G343" s="265">
        <v>630</v>
      </c>
      <c r="H343" s="14"/>
      <c r="J343" s="16"/>
    </row>
    <row r="344" spans="1:10">
      <c r="A344" s="265">
        <f t="shared" ca="1" si="12"/>
        <v>0</v>
      </c>
      <c r="B344" s="241">
        <v>12</v>
      </c>
      <c r="C344" s="265">
        <v>250</v>
      </c>
      <c r="D344" s="280">
        <v>150</v>
      </c>
      <c r="E344" s="265">
        <v>5</v>
      </c>
      <c r="F344" s="266" t="s">
        <v>464</v>
      </c>
      <c r="G344" s="265">
        <v>250</v>
      </c>
      <c r="H344" s="14"/>
      <c r="J344" s="16"/>
    </row>
    <row r="345" spans="1:10">
      <c r="A345" s="265">
        <f t="shared" ca="1" si="12"/>
        <v>0</v>
      </c>
      <c r="B345" s="241">
        <v>24</v>
      </c>
      <c r="C345" s="265">
        <v>250</v>
      </c>
      <c r="D345" s="280">
        <v>150</v>
      </c>
      <c r="E345" s="265">
        <v>5</v>
      </c>
      <c r="F345" s="266" t="s">
        <v>466</v>
      </c>
      <c r="G345" s="265">
        <v>250</v>
      </c>
      <c r="H345" s="14"/>
      <c r="J345" s="16"/>
    </row>
    <row r="346" spans="1:10">
      <c r="A346" s="265">
        <f t="shared" ca="1" si="12"/>
        <v>0</v>
      </c>
      <c r="B346" s="241">
        <v>24</v>
      </c>
      <c r="C346" s="265">
        <v>630</v>
      </c>
      <c r="D346" s="265">
        <v>150</v>
      </c>
      <c r="E346" s="265">
        <v>6.5</v>
      </c>
      <c r="F346" s="266" t="s">
        <v>467</v>
      </c>
      <c r="G346" s="265">
        <v>630</v>
      </c>
      <c r="H346" s="14"/>
      <c r="I346" s="16"/>
      <c r="J346" s="16"/>
    </row>
    <row r="347" spans="1:10">
      <c r="A347" s="14"/>
      <c r="B347" s="14"/>
      <c r="C347" s="14"/>
      <c r="D347" s="14"/>
      <c r="E347" s="14"/>
    </row>
    <row r="348" spans="1:10">
      <c r="A348" s="44" t="s">
        <v>483</v>
      </c>
      <c r="B348" s="44" t="str">
        <f ca="1">VLOOKUP(1,A350:F361,6,FALSE)</f>
        <v>HM 25.44.885 (30kV 63A 131mm 5 Pos)</v>
      </c>
      <c r="C348" s="44"/>
      <c r="D348" s="44"/>
      <c r="E348" s="44"/>
      <c r="F348" s="44"/>
      <c r="H348">
        <v>0</v>
      </c>
    </row>
    <row r="349" spans="1:10">
      <c r="A349" s="281">
        <f ca="1">IF(B46&lt;800,0,1)</f>
        <v>1</v>
      </c>
      <c r="B349" s="281">
        <f ca="1">IF(B47/1000&lt;21,20,30)</f>
        <v>30</v>
      </c>
      <c r="C349" s="281" cm="1">
        <f t="array" aca="1" ref="C349" ca="1">MIN(IF(C352:C361&gt;=B53*(1+B64*B65/100),C352:C361))</f>
        <v>63</v>
      </c>
      <c r="D349" s="281" cm="1">
        <f t="array" aca="1" ref="D349" ca="1">MIN(IF(D352:D361&gt;=A312,D352:D361))</f>
        <v>200</v>
      </c>
      <c r="E349" s="281">
        <f ca="1">D65</f>
        <v>5</v>
      </c>
      <c r="F349" s="218"/>
      <c r="H349">
        <v>1</v>
      </c>
    </row>
    <row r="350" spans="1:10">
      <c r="A350" s="265" t="s">
        <v>456</v>
      </c>
      <c r="B350" s="280" t="s">
        <v>457</v>
      </c>
      <c r="C350" s="280" t="s">
        <v>459</v>
      </c>
      <c r="D350" s="280" t="s">
        <v>458</v>
      </c>
      <c r="E350" s="280" t="s">
        <v>484</v>
      </c>
      <c r="F350" s="280" t="s">
        <v>420</v>
      </c>
    </row>
    <row r="351" spans="1:10">
      <c r="A351" s="265"/>
      <c r="B351" s="280"/>
      <c r="C351" s="280"/>
      <c r="D351" s="280"/>
      <c r="E351" s="280"/>
      <c r="F351" s="280"/>
    </row>
    <row r="352" spans="1:10">
      <c r="A352" s="265">
        <f ca="1">IF(AND($B$349=B352,$C$349=C352,$E$349=E352,$A$349=0),1,0)</f>
        <v>0</v>
      </c>
      <c r="B352" s="241">
        <v>20</v>
      </c>
      <c r="C352" s="265">
        <v>30</v>
      </c>
      <c r="D352" s="241">
        <v>95</v>
      </c>
      <c r="E352" s="241">
        <v>5</v>
      </c>
      <c r="F352" s="266" t="s">
        <v>485</v>
      </c>
    </row>
    <row r="353" spans="1:6">
      <c r="A353" s="265">
        <f ca="1">IF(AND($B$349=B353,$C$349=C353,$E$349=E353,$A$349=0),1,0)</f>
        <v>0</v>
      </c>
      <c r="B353" s="241">
        <v>20</v>
      </c>
      <c r="C353" s="265">
        <v>30</v>
      </c>
      <c r="D353" s="241">
        <v>95</v>
      </c>
      <c r="E353" s="241">
        <v>7</v>
      </c>
      <c r="F353" s="266" t="s">
        <v>486</v>
      </c>
    </row>
    <row r="354" spans="1:6">
      <c r="A354" s="265">
        <f ca="1">IF(AND($B$349=B354,$C$349=C354,$E$349=E354,$A$349=1),1,0)</f>
        <v>0</v>
      </c>
      <c r="B354" s="241">
        <v>20</v>
      </c>
      <c r="C354" s="265">
        <v>63</v>
      </c>
      <c r="D354" s="241">
        <v>95</v>
      </c>
      <c r="E354" s="241">
        <v>5</v>
      </c>
      <c r="F354" s="266" t="s">
        <v>487</v>
      </c>
    </row>
    <row r="355" spans="1:6">
      <c r="A355" s="265">
        <f ca="1">IF(AND($B$349=B355,$C$349=C355,$E$349=E355,$A$349=1),1,0)</f>
        <v>0</v>
      </c>
      <c r="B355" s="241">
        <v>20</v>
      </c>
      <c r="C355" s="265">
        <v>120</v>
      </c>
      <c r="D355" s="241">
        <v>95</v>
      </c>
      <c r="E355" s="241">
        <v>5</v>
      </c>
      <c r="F355" s="266" t="s">
        <v>488</v>
      </c>
    </row>
    <row r="356" spans="1:6">
      <c r="A356" s="265">
        <f ca="1">IF(AND($B$349=B356,$C$349=C356,$E$349=E356,$A$349=1),1,0)</f>
        <v>0</v>
      </c>
      <c r="B356" s="241">
        <v>20</v>
      </c>
      <c r="C356" s="265">
        <v>250</v>
      </c>
      <c r="D356" s="241">
        <v>95</v>
      </c>
      <c r="E356" s="241">
        <v>5</v>
      </c>
      <c r="F356" s="266" t="s">
        <v>489</v>
      </c>
    </row>
    <row r="357" spans="1:6">
      <c r="A357" s="265">
        <f ca="1">IF(AND($B$349=B357,$C$349=C357,$E$349=E357,$A$349=0),1,0)</f>
        <v>0</v>
      </c>
      <c r="B357" s="241">
        <v>30</v>
      </c>
      <c r="C357" s="265">
        <v>30</v>
      </c>
      <c r="D357" s="241">
        <v>200</v>
      </c>
      <c r="E357" s="241">
        <v>5</v>
      </c>
      <c r="F357" s="266" t="s">
        <v>490</v>
      </c>
    </row>
    <row r="358" spans="1:6">
      <c r="A358" s="265">
        <f ca="1">IF(AND($B$349=B358,$C$349=C358,$E$349=E358,$A$349=0),1,0)</f>
        <v>0</v>
      </c>
      <c r="B358" s="241">
        <v>30</v>
      </c>
      <c r="C358" s="265">
        <v>30</v>
      </c>
      <c r="D358" s="241">
        <v>200</v>
      </c>
      <c r="E358" s="241">
        <v>7</v>
      </c>
      <c r="F358" s="266" t="s">
        <v>491</v>
      </c>
    </row>
    <row r="359" spans="1:6">
      <c r="A359" s="265">
        <f ca="1">IF(AND($B$349=B359,$C$349=C359,$E$349=E359,$A$349=1),1,0)</f>
        <v>0</v>
      </c>
      <c r="B359" s="241">
        <v>30</v>
      </c>
      <c r="C359" s="265">
        <v>30</v>
      </c>
      <c r="D359" s="241">
        <v>200</v>
      </c>
      <c r="E359" s="241">
        <v>5</v>
      </c>
      <c r="F359" s="266" t="s">
        <v>492</v>
      </c>
    </row>
    <row r="360" spans="1:6">
      <c r="A360" s="265">
        <f ca="1">IF(AND($B$349=B360,$C$349=C360,$E$349=E360,$A$349=1),1,0)</f>
        <v>0</v>
      </c>
      <c r="B360" s="241">
        <v>30</v>
      </c>
      <c r="C360" s="265">
        <v>30</v>
      </c>
      <c r="D360" s="241">
        <v>200</v>
      </c>
      <c r="E360" s="241">
        <v>7</v>
      </c>
      <c r="F360" s="266" t="s">
        <v>493</v>
      </c>
    </row>
    <row r="361" spans="1:6">
      <c r="A361" s="265">
        <f ca="1">IF(AND($B$349=B361,$C$349=C361,$E$349=E361,$A$349=1),1,0)</f>
        <v>1</v>
      </c>
      <c r="B361" s="241">
        <v>30</v>
      </c>
      <c r="C361" s="265">
        <v>63</v>
      </c>
      <c r="D361" s="241">
        <v>200</v>
      </c>
      <c r="E361" s="241">
        <v>5</v>
      </c>
      <c r="F361" s="266" t="s">
        <v>494</v>
      </c>
    </row>
    <row r="362" spans="1:6">
      <c r="A362" s="14"/>
      <c r="B362" s="14"/>
      <c r="C362" s="14"/>
      <c r="D362" s="14"/>
      <c r="E362" s="14"/>
    </row>
    <row r="363" spans="1:6">
      <c r="A363" s="44" t="s">
        <v>495</v>
      </c>
      <c r="B363" s="44"/>
      <c r="C363" s="44"/>
      <c r="D363" s="44"/>
      <c r="E363" s="44"/>
      <c r="F363" s="44"/>
    </row>
    <row r="364" spans="1:6">
      <c r="A364" s="14" t="s">
        <v>496</v>
      </c>
      <c r="D364" s="47"/>
      <c r="E364" s="14"/>
    </row>
    <row r="365" spans="1:6">
      <c r="A365" s="14" t="s">
        <v>497</v>
      </c>
      <c r="D365" s="47"/>
      <c r="E365" s="14"/>
    </row>
    <row r="366" spans="1:6">
      <c r="A366" s="14" t="str">
        <f ca="1">IF(B46&lt;801,"DRAIN VALVE NW 22",IF(B46&lt;3151,"DRAIN VALVE NW 31","DRAIN VALVE NW 40"))</f>
        <v>DRAIN VALVE NW 40</v>
      </c>
      <c r="D366" s="47"/>
      <c r="E366" s="14"/>
    </row>
    <row r="367" spans="1:6">
      <c r="A367" s="14" t="s">
        <v>498</v>
      </c>
      <c r="D367" s="47"/>
      <c r="E367" s="14"/>
    </row>
    <row r="368" spans="1:6">
      <c r="A368" s="14" t="s">
        <v>499</v>
      </c>
      <c r="D368" s="47"/>
      <c r="E368" s="14"/>
    </row>
    <row r="369" spans="1:5">
      <c r="A369" s="14" t="s">
        <v>500</v>
      </c>
      <c r="D369" s="47"/>
      <c r="E369" s="14"/>
    </row>
    <row r="370" spans="1:5">
      <c r="A370" s="14" t="s">
        <v>501</v>
      </c>
      <c r="D370" s="47"/>
      <c r="E370" s="14"/>
    </row>
    <row r="371" spans="1:5">
      <c r="A371" s="14" t="s">
        <v>502</v>
      </c>
      <c r="D371" s="47"/>
      <c r="E371" s="14"/>
    </row>
    <row r="372" spans="1:5">
      <c r="A372" s="14" t="s">
        <v>503</v>
      </c>
      <c r="D372" s="47"/>
      <c r="E372" s="14"/>
    </row>
    <row r="373" spans="1:5">
      <c r="A373" s="14" t="s">
        <v>504</v>
      </c>
      <c r="D373" s="47"/>
      <c r="E373" s="14"/>
    </row>
    <row r="374" spans="1:5">
      <c r="A374" s="14" t="s">
        <v>505</v>
      </c>
      <c r="D374" s="47"/>
      <c r="E374" s="14"/>
    </row>
    <row r="375" spans="1:5">
      <c r="A375" s="14" t="s">
        <v>506</v>
      </c>
    </row>
    <row r="376" spans="1:5">
      <c r="A376" s="44" t="s">
        <v>507</v>
      </c>
      <c r="B376" s="44"/>
      <c r="C376" s="44"/>
      <c r="D376" s="44"/>
      <c r="E376" s="44"/>
    </row>
    <row r="377" spans="1:5">
      <c r="A377" s="14" t="s">
        <v>508</v>
      </c>
      <c r="D377" s="47"/>
      <c r="E377" s="14"/>
    </row>
    <row r="378" spans="1:5">
      <c r="A378" s="14" t="s">
        <v>509</v>
      </c>
      <c r="D378" s="47"/>
      <c r="E378" s="14"/>
    </row>
    <row r="379" spans="1:5">
      <c r="A379" s="14" t="s">
        <v>510</v>
      </c>
      <c r="D379" s="47"/>
      <c r="E379" s="14"/>
    </row>
    <row r="380" spans="1:5">
      <c r="A380" s="14" t="s">
        <v>511</v>
      </c>
      <c r="D380" s="47"/>
      <c r="E380" s="14"/>
    </row>
    <row r="381" spans="1:5">
      <c r="A381" s="14" t="s">
        <v>512</v>
      </c>
      <c r="D381" s="47"/>
      <c r="E381" s="14"/>
    </row>
    <row r="382" spans="1:5">
      <c r="A382" s="14" t="s">
        <v>513</v>
      </c>
      <c r="D382" s="47"/>
      <c r="E382" s="14"/>
    </row>
    <row r="383" spans="1:5">
      <c r="A383" s="14" t="s">
        <v>514</v>
      </c>
      <c r="D383" s="47"/>
      <c r="E383" s="14"/>
    </row>
    <row r="384" spans="1:5">
      <c r="A384" s="14" t="s">
        <v>515</v>
      </c>
      <c r="D384" s="47"/>
      <c r="E384" s="14"/>
    </row>
    <row r="385" spans="1:13">
      <c r="A385" s="45"/>
      <c r="E385" s="14"/>
      <c r="H385" s="17"/>
      <c r="I385" s="17"/>
      <c r="J385" s="17"/>
      <c r="K385" s="17"/>
      <c r="L385" s="17"/>
      <c r="M385" s="17"/>
    </row>
    <row r="386" spans="1:13">
      <c r="A386" s="44" t="s">
        <v>516</v>
      </c>
      <c r="B386" s="44"/>
      <c r="C386" s="44"/>
      <c r="D386" s="44"/>
      <c r="E386" s="44"/>
      <c r="G386" s="218" t="s">
        <v>517</v>
      </c>
      <c r="H386" s="241" t="s">
        <v>456</v>
      </c>
      <c r="I386" s="241" t="s">
        <v>518</v>
      </c>
      <c r="J386" s="241" t="s">
        <v>519</v>
      </c>
      <c r="K386" s="241" t="s">
        <v>315</v>
      </c>
      <c r="L386" s="241" t="s">
        <v>520</v>
      </c>
      <c r="M386" s="241" t="s">
        <v>324</v>
      </c>
    </row>
    <row r="387" spans="1:13">
      <c r="A387" s="14" t="s">
        <v>521</v>
      </c>
      <c r="B387">
        <f>IF(ISERROR(VLOOKUP(1,H387:I388,2,FALSE)),0,VLOOKUP(1,H387:I388,2,FALSE))</f>
        <v>0</v>
      </c>
      <c r="G387" s="218" t="s">
        <v>522</v>
      </c>
      <c r="H387" s="218">
        <f>IF(AND('Bill of Materials'!E89=1,LEFT('Bill of Materials'!B56,7)="Plug-in"),1,0)</f>
        <v>0</v>
      </c>
      <c r="I387" s="218">
        <v>350</v>
      </c>
      <c r="J387" s="218">
        <f>630+422</f>
        <v>1052</v>
      </c>
      <c r="K387" s="218">
        <v>747</v>
      </c>
      <c r="L387" s="218">
        <v>391</v>
      </c>
      <c r="M387" s="218">
        <v>100</v>
      </c>
    </row>
    <row r="388" spans="1:13">
      <c r="A388" s="14" t="s">
        <v>523</v>
      </c>
      <c r="B388">
        <f>IF(ISERROR(VLOOKUP(1,H391:I398,2,FALSE)),0,VLOOKUP(1,H391:I398,2,FALSE))</f>
        <v>950</v>
      </c>
      <c r="G388" s="218" t="s">
        <v>524</v>
      </c>
      <c r="H388" s="218">
        <f>IF(AND('Bill of Materials'!E89=1,LEFT('Bill of Materials'!B56,2)="1M"),1,0)</f>
        <v>0</v>
      </c>
      <c r="I388" s="218">
        <v>350</v>
      </c>
      <c r="J388" s="218">
        <f>465+397</f>
        <v>862</v>
      </c>
      <c r="K388" s="218">
        <v>578</v>
      </c>
      <c r="L388" s="218">
        <v>318</v>
      </c>
      <c r="M388" s="218">
        <v>57</v>
      </c>
    </row>
    <row r="389" spans="1:13">
      <c r="A389" s="14" t="s">
        <v>525</v>
      </c>
      <c r="B389">
        <f>IF(H400=1,I400,0)</f>
        <v>0</v>
      </c>
    </row>
    <row r="390" spans="1:13">
      <c r="A390" s="14" t="s">
        <v>526</v>
      </c>
      <c r="B390">
        <f t="shared" ref="B390:B391" si="14">IF(H401=1,I401,0)</f>
        <v>0</v>
      </c>
      <c r="G390" s="218" t="s">
        <v>527</v>
      </c>
      <c r="H390" s="218"/>
      <c r="I390" s="218" t="s">
        <v>518</v>
      </c>
      <c r="J390" s="241" t="s">
        <v>519</v>
      </c>
      <c r="K390" s="241" t="s">
        <v>315</v>
      </c>
      <c r="L390" s="241" t="s">
        <v>520</v>
      </c>
      <c r="M390" s="241" t="s">
        <v>324</v>
      </c>
    </row>
    <row r="391" spans="1:13">
      <c r="A391" s="14" t="s">
        <v>528</v>
      </c>
      <c r="B391">
        <f t="shared" si="14"/>
        <v>0</v>
      </c>
      <c r="G391" s="266" t="s">
        <v>477</v>
      </c>
      <c r="H391" s="218">
        <f>IF(AND('Bill of Materials'!E90=1,'Bill of Materials'!E59=4,LEFT('Bill of Materials'!B59,6)="EN 250"),1,0)</f>
        <v>0</v>
      </c>
      <c r="I391" s="218">
        <v>500</v>
      </c>
      <c r="J391" s="218">
        <f>531+402</f>
        <v>933</v>
      </c>
      <c r="K391" s="218">
        <v>770</v>
      </c>
      <c r="L391" s="218">
        <v>331</v>
      </c>
      <c r="M391" s="218">
        <v>85</v>
      </c>
    </row>
    <row r="392" spans="1:13">
      <c r="A392" s="44" t="s">
        <v>529</v>
      </c>
      <c r="B392" s="44"/>
      <c r="C392" s="44"/>
      <c r="D392" s="44"/>
      <c r="E392" s="44"/>
      <c r="G392" s="266" t="s">
        <v>478</v>
      </c>
      <c r="H392" s="218">
        <f>IF(AND('Bill of Materials'!E90=1,'Bill of Materials'!E59=4,LEFT('Bill of Materials'!B59,6)="EN 630"),1,0)</f>
        <v>0</v>
      </c>
      <c r="I392" s="218">
        <v>600</v>
      </c>
      <c r="J392" s="218">
        <f>531+402</f>
        <v>933</v>
      </c>
      <c r="K392" s="218">
        <v>770</v>
      </c>
      <c r="L392" s="218">
        <v>331</v>
      </c>
      <c r="M392" s="218">
        <v>135</v>
      </c>
    </row>
    <row r="393" spans="1:13">
      <c r="A393" s="14" t="s">
        <v>530</v>
      </c>
      <c r="D393" s="47"/>
      <c r="G393" s="266" t="s">
        <v>479</v>
      </c>
      <c r="H393" s="218">
        <f>IF(AND('Bill of Materials'!E90=1,'Bill of Materials'!E59=4,LEFT('Bill of Materials'!B59,7)="EN 1250"),1,0)</f>
        <v>0</v>
      </c>
      <c r="I393" s="218">
        <v>700</v>
      </c>
      <c r="J393" s="218">
        <f>603+482</f>
        <v>1085</v>
      </c>
      <c r="K393" s="218">
        <v>1073</v>
      </c>
      <c r="L393" s="218">
        <v>386</v>
      </c>
      <c r="M393" s="218">
        <v>150</v>
      </c>
    </row>
    <row r="394" spans="1:13">
      <c r="A394" s="14" t="s">
        <v>531</v>
      </c>
      <c r="D394" s="47"/>
      <c r="G394" s="266" t="s">
        <v>532</v>
      </c>
      <c r="H394" s="218">
        <f>IF(AND('Bill of Materials'!E90=1,'Bill of Materials'!E59=8,LEFT('Bill of Materials'!B59,7)="EN 1250"),1,0)</f>
        <v>0</v>
      </c>
      <c r="I394" s="218">
        <v>750</v>
      </c>
      <c r="J394" s="218">
        <f>603+482</f>
        <v>1085</v>
      </c>
      <c r="K394" s="218">
        <v>1073</v>
      </c>
      <c r="L394" s="218">
        <v>386</v>
      </c>
      <c r="M394" s="218">
        <v>180</v>
      </c>
    </row>
    <row r="395" spans="1:13">
      <c r="A395" s="14" t="s">
        <v>533</v>
      </c>
      <c r="D395" s="47"/>
      <c r="G395" s="266" t="s">
        <v>480</v>
      </c>
      <c r="H395" s="218">
        <f>IF(AND('Bill of Materials'!E90=1,'Bill of Materials'!E59=4,LEFT('Bill of Materials'!B59,7)="EN 2000"),1,0)</f>
        <v>0</v>
      </c>
      <c r="I395" s="218">
        <v>800</v>
      </c>
      <c r="J395" s="218">
        <f>583+482</f>
        <v>1065</v>
      </c>
      <c r="K395" s="218">
        <v>1115</v>
      </c>
      <c r="L395" s="218">
        <v>431</v>
      </c>
      <c r="M395" s="218">
        <v>200</v>
      </c>
    </row>
    <row r="396" spans="1:13">
      <c r="A396" s="14" t="s">
        <v>534</v>
      </c>
      <c r="D396" s="47"/>
      <c r="G396" s="266" t="s">
        <v>535</v>
      </c>
      <c r="H396" s="218">
        <f>IF(AND('Bill of Materials'!E90=1,'Bill of Materials'!E59=8,LEFT('Bill of Materials'!B59,7)="EN 2000"),1,0)</f>
        <v>0</v>
      </c>
      <c r="I396" s="218">
        <v>850</v>
      </c>
      <c r="J396" s="218">
        <f>863+557</f>
        <v>1420</v>
      </c>
      <c r="K396" s="218">
        <v>1115</v>
      </c>
      <c r="L396" s="218">
        <v>431</v>
      </c>
      <c r="M396" s="218">
        <v>230</v>
      </c>
    </row>
    <row r="397" spans="1:13">
      <c r="A397" s="14" t="s">
        <v>536</v>
      </c>
      <c r="D397" s="47"/>
      <c r="G397" s="266" t="s">
        <v>481</v>
      </c>
      <c r="H397" s="218">
        <f>IF(AND('Bill of Materials'!E90=1,'Bill of Materials'!E59=4,LEFT('Bill of Materials'!B59,7)="EN 3150"),1,0)</f>
        <v>0</v>
      </c>
      <c r="I397" s="218">
        <v>900</v>
      </c>
      <c r="J397" s="218">
        <f>663+477</f>
        <v>1140</v>
      </c>
      <c r="K397" s="218">
        <v>1185</v>
      </c>
      <c r="L397" s="218">
        <v>518</v>
      </c>
      <c r="M397" s="218">
        <v>300</v>
      </c>
    </row>
    <row r="398" spans="1:13">
      <c r="A398" s="14" t="s">
        <v>537</v>
      </c>
      <c r="D398" s="47"/>
      <c r="G398" s="266" t="s">
        <v>538</v>
      </c>
      <c r="H398" s="218">
        <f>IF(AND('Bill of Materials'!E90=1,'Bill of Materials'!E59=8,LEFT('Bill of Materials'!B59,7)="EN 3150"),1,0)</f>
        <v>1</v>
      </c>
      <c r="I398" s="218">
        <v>950</v>
      </c>
      <c r="J398" s="218">
        <f>933+562</f>
        <v>1495</v>
      </c>
      <c r="K398" s="218">
        <v>1133</v>
      </c>
      <c r="L398" s="218">
        <v>518</v>
      </c>
      <c r="M398" s="218">
        <v>340</v>
      </c>
    </row>
    <row r="399" spans="1:13">
      <c r="A399" s="14" t="s">
        <v>539</v>
      </c>
      <c r="D399" s="47"/>
    </row>
    <row r="400" spans="1:13">
      <c r="A400" s="14" t="s">
        <v>540</v>
      </c>
      <c r="D400" s="47"/>
      <c r="G400" s="266" t="s">
        <v>541</v>
      </c>
      <c r="H400" s="218">
        <f>IF('Bill of Materials'!E91=1,1,0)</f>
        <v>0</v>
      </c>
      <c r="I400" s="218">
        <v>250</v>
      </c>
      <c r="J400" s="218">
        <v>400</v>
      </c>
      <c r="K400" s="218">
        <v>700</v>
      </c>
      <c r="L400" s="218">
        <v>500</v>
      </c>
      <c r="M400" s="218">
        <v>10</v>
      </c>
    </row>
    <row r="401" spans="1:13">
      <c r="A401" s="14" t="s">
        <v>542</v>
      </c>
      <c r="D401" s="47"/>
      <c r="G401" s="266" t="s">
        <v>543</v>
      </c>
      <c r="H401" s="218">
        <f>IF('Bill of Materials'!E92=1,1,0)</f>
        <v>0</v>
      </c>
      <c r="I401" s="218">
        <v>150</v>
      </c>
      <c r="J401" s="218">
        <v>300</v>
      </c>
      <c r="K401" s="218">
        <v>500</v>
      </c>
      <c r="L401" s="218">
        <v>300</v>
      </c>
      <c r="M401" s="218">
        <v>5</v>
      </c>
    </row>
    <row r="402" spans="1:13">
      <c r="A402" s="14" t="s">
        <v>544</v>
      </c>
      <c r="D402" s="47"/>
      <c r="G402" s="266" t="s">
        <v>545</v>
      </c>
      <c r="H402" s="218">
        <f>IF('Bill of Materials'!E93=1,1,0)</f>
        <v>0</v>
      </c>
      <c r="I402" s="218">
        <v>250</v>
      </c>
      <c r="J402" s="218">
        <v>630</v>
      </c>
      <c r="K402" s="218">
        <v>750</v>
      </c>
      <c r="L402" s="218">
        <v>400</v>
      </c>
      <c r="M402" s="218">
        <v>15</v>
      </c>
    </row>
    <row r="403" spans="1:13">
      <c r="A403" s="14" t="s">
        <v>546</v>
      </c>
      <c r="D403" s="47"/>
    </row>
    <row r="404" spans="1:13">
      <c r="A404" s="14" t="s">
        <v>547</v>
      </c>
      <c r="D404" s="47"/>
    </row>
    <row r="405" spans="1:13">
      <c r="A405" s="14" t="s">
        <v>548</v>
      </c>
      <c r="D405" s="47"/>
    </row>
    <row r="406" spans="1:13">
      <c r="A406" s="14" t="s">
        <v>549</v>
      </c>
      <c r="D406" s="47"/>
    </row>
    <row r="407" spans="1:13">
      <c r="A407" s="14" t="s">
        <v>550</v>
      </c>
      <c r="D407" s="47"/>
      <c r="E407" s="281" t="s">
        <v>551</v>
      </c>
      <c r="G407" s="281" t="s">
        <v>552</v>
      </c>
    </row>
    <row r="408" spans="1:13">
      <c r="A408" s="14" t="s">
        <v>550</v>
      </c>
      <c r="D408" s="47"/>
      <c r="E408" s="280" t="s">
        <v>553</v>
      </c>
      <c r="F408" s="282" cm="1">
        <f t="array" aca="1" ref="F408" ca="1">MIN(IF(E409:E421&gt;=A331*1.2,E409:E421))</f>
        <v>0</v>
      </c>
      <c r="G408" s="241" cm="1">
        <f t="array" aca="1" ref="G408" ca="1">MIN(IF(E409:E421&gt;=A331,E409:E421))</f>
        <v>0</v>
      </c>
    </row>
    <row r="409" spans="1:13">
      <c r="A409" s="14" t="s">
        <v>554</v>
      </c>
      <c r="D409" s="47"/>
      <c r="E409" s="241">
        <v>20</v>
      </c>
      <c r="F409" s="283" t="s">
        <v>555</v>
      </c>
      <c r="G409" s="241"/>
    </row>
    <row r="410" spans="1:13">
      <c r="A410" s="14" t="s">
        <v>556</v>
      </c>
      <c r="D410" s="47"/>
      <c r="E410" s="241">
        <v>32</v>
      </c>
      <c r="F410" s="283" t="s">
        <v>557</v>
      </c>
      <c r="G410" s="241"/>
    </row>
    <row r="411" spans="1:13">
      <c r="A411" s="270" t="s">
        <v>558</v>
      </c>
      <c r="D411" s="47"/>
      <c r="E411" s="241">
        <v>63</v>
      </c>
      <c r="F411" s="283" t="s">
        <v>559</v>
      </c>
      <c r="G411" s="241"/>
    </row>
    <row r="412" spans="1:13">
      <c r="A412" s="270" t="s">
        <v>560</v>
      </c>
      <c r="D412" s="47"/>
      <c r="E412" s="241">
        <v>100</v>
      </c>
      <c r="F412" s="283" t="s">
        <v>561</v>
      </c>
      <c r="G412" s="241"/>
    </row>
    <row r="413" spans="1:13">
      <c r="A413" s="14" t="s">
        <v>562</v>
      </c>
      <c r="D413" s="47"/>
      <c r="E413" s="241">
        <v>125</v>
      </c>
      <c r="F413" s="283" t="s">
        <v>563</v>
      </c>
      <c r="G413" s="241"/>
    </row>
    <row r="414" spans="1:13">
      <c r="A414" s="270" t="s">
        <v>564</v>
      </c>
      <c r="D414" s="47"/>
      <c r="E414" s="241">
        <v>160</v>
      </c>
      <c r="F414" s="283" t="s">
        <v>565</v>
      </c>
      <c r="G414" s="241"/>
    </row>
    <row r="415" spans="1:13">
      <c r="A415" s="14" t="s">
        <v>566</v>
      </c>
      <c r="D415" s="47"/>
      <c r="E415" s="241">
        <v>200</v>
      </c>
      <c r="F415" s="283" t="s">
        <v>567</v>
      </c>
      <c r="G415" s="241"/>
    </row>
    <row r="416" spans="1:13">
      <c r="A416" s="14" t="s">
        <v>568</v>
      </c>
      <c r="D416" s="47"/>
      <c r="E416" s="241">
        <v>250</v>
      </c>
      <c r="F416" s="283" t="s">
        <v>569</v>
      </c>
      <c r="G416" s="241"/>
    </row>
    <row r="417" spans="1:7">
      <c r="A417" s="14" t="s">
        <v>570</v>
      </c>
      <c r="D417" s="47"/>
      <c r="E417" s="241">
        <v>315</v>
      </c>
      <c r="F417" s="283" t="s">
        <v>571</v>
      </c>
      <c r="G417" s="241"/>
    </row>
    <row r="418" spans="1:7">
      <c r="A418" s="14" t="s">
        <v>572</v>
      </c>
      <c r="D418" s="47"/>
      <c r="E418" s="241">
        <v>400</v>
      </c>
      <c r="F418" s="283" t="s">
        <v>573</v>
      </c>
      <c r="G418" s="241"/>
    </row>
    <row r="419" spans="1:7">
      <c r="A419" s="14" t="s">
        <v>574</v>
      </c>
      <c r="D419" s="47"/>
      <c r="E419" s="241">
        <v>500</v>
      </c>
      <c r="F419" s="283" t="s">
        <v>575</v>
      </c>
      <c r="G419" s="241"/>
    </row>
    <row r="420" spans="1:7">
      <c r="A420" s="14" t="s">
        <v>576</v>
      </c>
      <c r="D420" s="47"/>
      <c r="E420" s="241">
        <v>630</v>
      </c>
      <c r="F420" s="283" t="s">
        <v>577</v>
      </c>
      <c r="G420" s="241"/>
    </row>
    <row r="421" spans="1:7">
      <c r="A421" s="14" t="s">
        <v>578</v>
      </c>
      <c r="D421" s="47"/>
      <c r="E421" s="241">
        <v>800</v>
      </c>
      <c r="F421" s="283" t="s">
        <v>579</v>
      </c>
      <c r="G421" s="241"/>
    </row>
    <row r="422" spans="1:7">
      <c r="A422" s="14" t="s">
        <v>580</v>
      </c>
      <c r="D422" s="47"/>
    </row>
    <row r="423" spans="1:7">
      <c r="A423" s="14" t="s">
        <v>581</v>
      </c>
      <c r="D423" s="47"/>
    </row>
    <row r="424" spans="1:7">
      <c r="A424" s="14" t="s">
        <v>582</v>
      </c>
      <c r="D424" s="47"/>
    </row>
    <row r="425" spans="1:7">
      <c r="A425" s="14" t="s">
        <v>583</v>
      </c>
      <c r="D425" s="47"/>
    </row>
    <row r="426" spans="1:7">
      <c r="A426" s="14" t="s">
        <v>584</v>
      </c>
      <c r="D426" s="47"/>
    </row>
    <row r="427" spans="1:7">
      <c r="A427" s="14" t="s">
        <v>585</v>
      </c>
      <c r="B427" s="14"/>
      <c r="D427" s="47"/>
    </row>
    <row r="428" spans="1:7">
      <c r="A428" s="14" t="s">
        <v>586</v>
      </c>
      <c r="B428" s="14"/>
      <c r="D428" s="47"/>
    </row>
    <row r="429" spans="1:7" ht="15.75">
      <c r="A429" s="14" t="s">
        <v>587</v>
      </c>
      <c r="B429" s="14"/>
      <c r="D429" s="47"/>
      <c r="F429" s="13"/>
    </row>
    <row r="430" spans="1:7" ht="15.75">
      <c r="A430" s="14" t="s">
        <v>588</v>
      </c>
      <c r="B430" s="14"/>
      <c r="D430" s="47"/>
      <c r="F430" s="13"/>
    </row>
    <row r="431" spans="1:7" ht="15.75">
      <c r="A431" s="14" t="s">
        <v>589</v>
      </c>
      <c r="D431" s="47"/>
      <c r="F431" s="13"/>
    </row>
    <row r="432" spans="1:7">
      <c r="A432" s="14"/>
      <c r="D432" s="47"/>
    </row>
    <row r="433" spans="1:12">
      <c r="A433" s="14"/>
      <c r="D433" s="47"/>
    </row>
    <row r="434" spans="1:12">
      <c r="A434" s="46"/>
      <c r="B434" s="46"/>
      <c r="C434" s="46"/>
      <c r="D434" s="46"/>
      <c r="E434" s="46"/>
    </row>
    <row r="435" spans="1:12" ht="15">
      <c r="A435" s="44" t="s">
        <v>590</v>
      </c>
      <c r="B435" s="44"/>
      <c r="C435" s="44"/>
      <c r="D435" s="44"/>
      <c r="E435" s="44"/>
      <c r="F435" s="271" t="s">
        <v>254</v>
      </c>
      <c r="G435" s="425" t="s">
        <v>591</v>
      </c>
      <c r="H435" s="426"/>
      <c r="I435" s="427" t="s">
        <v>592</v>
      </c>
      <c r="J435" s="428"/>
      <c r="K435" s="273"/>
    </row>
    <row r="436" spans="1:12" ht="15">
      <c r="A436" s="14" t="s">
        <v>593</v>
      </c>
      <c r="D436" s="47">
        <f>IF(Techspecs!H46="Galvanize &amp; Powder",B237,0)</f>
        <v>0</v>
      </c>
      <c r="F436" s="271" cm="1">
        <f t="array" aca="1" ref="F436" ca="1">IF(B46&lt;250,250,IF(ISERROR(MATCH(B46,F437:F444,0)),INDEX(F437:F444,MATCH(B46,F437:F444)+1),B46))</f>
        <v>4000</v>
      </c>
      <c r="G436" s="271" t="s">
        <v>594</v>
      </c>
      <c r="H436" s="271" t="s">
        <v>595</v>
      </c>
      <c r="I436" s="271" t="s">
        <v>594</v>
      </c>
      <c r="J436" s="272" t="s">
        <v>595</v>
      </c>
      <c r="K436" s="274"/>
    </row>
    <row r="437" spans="1:12" ht="15">
      <c r="A437" s="14" t="s">
        <v>596</v>
      </c>
      <c r="D437" s="47">
        <f ca="1">IF(Techspecs!H46="Shot Blast &amp; Marine paint",VLOOKUP(F436,Q!F437:J442,4),VLOOKUP(F436,Q!F437:J442,2))</f>
        <v>30</v>
      </c>
      <c r="F437" s="271">
        <v>250</v>
      </c>
      <c r="G437" s="271">
        <v>5</v>
      </c>
      <c r="H437" s="271">
        <v>6</v>
      </c>
      <c r="I437" s="271">
        <v>10</v>
      </c>
      <c r="J437" s="272">
        <v>6</v>
      </c>
      <c r="K437" s="274"/>
    </row>
    <row r="438" spans="1:12" ht="15">
      <c r="A438" s="14" t="str">
        <f>IF(Techspecs!H46="Marine Paint","POWDER PAINT ("&amp;Techspecs!H47&amp;") Marine Grade","POWDER PAINT ("&amp;Techspecs!H47&amp;")")</f>
        <v>POWDER PAINT (RAL7033)</v>
      </c>
      <c r="D438" s="47">
        <f ca="1">IF(Techspecs!H46="Shot Blast &amp; Marine paint",VLOOKUP(F436,Q!F437:J442,5),VLOOKUP(F436,Q!F437:J442,3))</f>
        <v>40</v>
      </c>
      <c r="F438" s="271">
        <v>800</v>
      </c>
      <c r="G438" s="271">
        <v>10</v>
      </c>
      <c r="H438" s="271">
        <v>15</v>
      </c>
      <c r="I438" s="271">
        <v>20</v>
      </c>
      <c r="J438" s="272">
        <v>15</v>
      </c>
      <c r="K438" s="274"/>
      <c r="L438">
        <f ca="1">VLOOKUP(F436,Q!F437:J442,4,TRUE)</f>
        <v>60</v>
      </c>
    </row>
    <row r="439" spans="1:12" ht="15">
      <c r="A439" s="14" t="s">
        <v>597</v>
      </c>
      <c r="D439">
        <f ca="1">D437</f>
        <v>30</v>
      </c>
      <c r="F439" s="271">
        <v>1250</v>
      </c>
      <c r="G439" s="271">
        <v>15</v>
      </c>
      <c r="H439" s="271">
        <v>20</v>
      </c>
      <c r="I439" s="271">
        <v>30</v>
      </c>
      <c r="J439" s="272">
        <v>20</v>
      </c>
      <c r="K439" s="274"/>
    </row>
    <row r="440" spans="1:12" ht="15">
      <c r="A440" s="45"/>
      <c r="F440" s="271">
        <v>2000</v>
      </c>
      <c r="G440" s="271">
        <v>20</v>
      </c>
      <c r="H440" s="271">
        <v>30</v>
      </c>
      <c r="I440" s="271">
        <v>40</v>
      </c>
      <c r="J440" s="272">
        <v>30</v>
      </c>
      <c r="K440" s="274"/>
    </row>
    <row r="441" spans="1:12" ht="15">
      <c r="A441" s="44" t="s">
        <v>598</v>
      </c>
      <c r="B441" s="44"/>
      <c r="C441" s="44"/>
      <c r="D441" s="44"/>
      <c r="E441" s="44"/>
      <c r="F441" s="271">
        <v>2500</v>
      </c>
      <c r="G441" s="271">
        <v>25</v>
      </c>
      <c r="H441" s="271">
        <v>30</v>
      </c>
      <c r="I441" s="271">
        <v>50</v>
      </c>
      <c r="J441" s="272">
        <v>30</v>
      </c>
      <c r="K441" s="274"/>
    </row>
    <row r="442" spans="1:12" ht="15">
      <c r="A442" t="s">
        <v>599</v>
      </c>
      <c r="B442">
        <f ca="1">VALUE(IF(LEFT(P!D44,5)="Inner",RIGHT(P!C45,4),RIGHT(P!C44,4)))</f>
        <v>1</v>
      </c>
      <c r="F442" s="271">
        <v>3150</v>
      </c>
      <c r="G442" s="271">
        <v>30</v>
      </c>
      <c r="H442" s="271">
        <v>40</v>
      </c>
      <c r="I442" s="271">
        <v>60</v>
      </c>
      <c r="J442" s="272">
        <v>40</v>
      </c>
      <c r="K442" s="274"/>
    </row>
    <row r="443" spans="1:12" ht="15">
      <c r="A443" t="s">
        <v>600</v>
      </c>
      <c r="B443">
        <f ca="1">VALUE(A168)</f>
        <v>1169.422</v>
      </c>
      <c r="F443" s="271">
        <v>4000</v>
      </c>
      <c r="G443" s="271">
        <v>40</v>
      </c>
      <c r="H443" s="271">
        <v>50</v>
      </c>
      <c r="I443" s="271">
        <v>70</v>
      </c>
      <c r="J443" s="271">
        <v>50</v>
      </c>
    </row>
    <row r="444" spans="1:12" ht="15">
      <c r="A444" t="s">
        <v>601</v>
      </c>
      <c r="B444">
        <f ca="1">VALUE(B168)</f>
        <v>8</v>
      </c>
      <c r="F444" s="271">
        <v>5000</v>
      </c>
      <c r="G444" s="271">
        <v>50</v>
      </c>
      <c r="H444" s="271">
        <v>60</v>
      </c>
      <c r="I444" s="271">
        <v>80</v>
      </c>
      <c r="J444" s="271">
        <v>60</v>
      </c>
    </row>
    <row r="445" spans="1:12">
      <c r="A445" t="s">
        <v>602</v>
      </c>
      <c r="B445">
        <f ca="1">C140</f>
        <v>838</v>
      </c>
    </row>
    <row r="447" spans="1:12">
      <c r="A447" s="218"/>
      <c r="B447" s="218">
        <v>0.33</v>
      </c>
      <c r="C447" s="218">
        <f ca="1">ROUNDDOWN(B444/2,0)</f>
        <v>4</v>
      </c>
      <c r="D447" s="218"/>
      <c r="E447" s="218"/>
      <c r="F447" s="218" t="str">
        <f ca="1">"1/3 Cooling Duct Between Layers "&amp;C447&amp;" &amp; "&amp;C447+1&amp;" ("&amp;B445&amp;" x "&amp;ROUND(B443/3,-1)&amp;" mm)"</f>
        <v>1/3 Cooling Duct Between Layers 4 &amp; 5 (838 x 390 mm)</v>
      </c>
      <c r="G447" s="218" t="str">
        <f>""</f>
        <v/>
      </c>
      <c r="H447" s="312"/>
      <c r="I447" s="274"/>
    </row>
    <row r="448" spans="1:12">
      <c r="A448" s="218"/>
      <c r="B448" s="218">
        <v>0.67</v>
      </c>
      <c r="C448" s="218">
        <f ca="1">ROUNDDOWN(B444/2,0)</f>
        <v>4</v>
      </c>
      <c r="D448" s="218"/>
      <c r="E448" s="218"/>
      <c r="F448" s="218" t="str">
        <f ca="1">"2/3 Cooling Duct Between Layers "&amp;C448&amp;" &amp; "&amp;C448+1&amp;" ("&amp;B445&amp;" x "&amp;ROUND(2*B443/3,-1)&amp;" mm)"</f>
        <v>2/3 Cooling Duct Between Layers 4 &amp; 5 (838 x 780 mm)</v>
      </c>
      <c r="G448" s="218"/>
      <c r="H448" s="312"/>
      <c r="I448" s="274"/>
    </row>
    <row r="449" spans="1:9">
      <c r="A449" s="218"/>
      <c r="B449" s="218">
        <v>1</v>
      </c>
      <c r="C449" s="218">
        <f ca="1">ROUNDDOWN(B444/2,0)</f>
        <v>4</v>
      </c>
      <c r="D449" s="218"/>
      <c r="E449" s="218"/>
      <c r="F449" s="218" t="str">
        <f ca="1">"Full Cooling Duct Between Layers "&amp;C449&amp;" &amp; "&amp;C449+1&amp;" ("&amp;B445&amp;" x "&amp;ROUND(B443,-1)&amp;" mm)"</f>
        <v>Full Cooling Duct Between Layers 4 &amp; 5 (838 x 1170 mm)</v>
      </c>
      <c r="G449" s="218"/>
      <c r="H449" s="312"/>
      <c r="I449" s="274"/>
    </row>
    <row r="450" spans="1:9">
      <c r="A450" s="218"/>
      <c r="B450" s="218">
        <v>1.33</v>
      </c>
      <c r="C450" s="218">
        <f ca="1">ROUNDDOWN(B444*6/14,0)</f>
        <v>3</v>
      </c>
      <c r="D450" s="218">
        <f ca="1">ROUNDDOWN(B444*10/14,0)</f>
        <v>5</v>
      </c>
      <c r="E450" s="218"/>
      <c r="F450" s="218" t="str">
        <f ca="1">"Full Cooling Duct Between Layers "&amp;C450&amp;" &amp; "&amp;C450+1&amp;" ("&amp;B445&amp;" x "&amp;ROUND(0.9*B443,-1)&amp;" mm)"</f>
        <v>Full Cooling Duct Between Layers 3 &amp; 4 (838 x 1050 mm)</v>
      </c>
      <c r="G450" s="218" t="str">
        <f ca="1">"1/3 Cooling Duct Between Layers "&amp;D450&amp;" &amp; "&amp;D450+1&amp;" ("&amp;B445&amp;" x "&amp;ROUND(1.1*B443/3,-1)&amp;" mm)"</f>
        <v>1/3 Cooling Duct Between Layers 5 &amp; 6 (838 x 430 mm)</v>
      </c>
      <c r="H450" s="312"/>
      <c r="I450" s="274"/>
    </row>
    <row r="451" spans="1:9">
      <c r="A451" s="218"/>
      <c r="B451" s="218">
        <v>1.67</v>
      </c>
      <c r="C451" s="218">
        <f ca="1">ROUNDDOWN(B444*6/16,0)</f>
        <v>3</v>
      </c>
      <c r="D451" s="218">
        <f ca="1">ROUNDDOWN(B444*11/16,0)</f>
        <v>5</v>
      </c>
      <c r="E451" s="218"/>
      <c r="F451" s="218" t="str">
        <f ca="1">"Full Cooling Duct Between Layers "&amp;C451&amp;" &amp; "&amp;C451+1&amp;" ("&amp;B445&amp;" x "&amp;ROUND(0.9*B443,-1)&amp;" mm)"</f>
        <v>Full Cooling Duct Between Layers 3 &amp; 4 (838 x 1050 mm)</v>
      </c>
      <c r="G451" s="218" t="str">
        <f ca="1">"2/3 Cooling Duct Between Layers "&amp;D451&amp;" &amp; "&amp;D451+1&amp;" ("&amp;B445&amp;" x "&amp;ROUND(1.1*2*B443/3,-1)&amp;" mm)"</f>
        <v>2/3 Cooling Duct Between Layers 5 &amp; 6 (838 x 860 mm)</v>
      </c>
      <c r="H451" s="312"/>
      <c r="I451" s="274"/>
    </row>
    <row r="452" spans="1:9">
      <c r="A452" s="218"/>
      <c r="B452" s="218">
        <v>2</v>
      </c>
      <c r="C452" s="218">
        <f ca="1">ROUNDDOWN(B444/3,0)</f>
        <v>2</v>
      </c>
      <c r="D452" s="218">
        <f ca="1">ROUNDDOWN(B444*2/3,0)</f>
        <v>5</v>
      </c>
      <c r="E452" s="218"/>
      <c r="F452" s="218" t="str">
        <f ca="1">"Full Cooling Duct Between Layers "&amp;C452&amp;" &amp; "&amp;C452+1&amp;" ("&amp;B445&amp;" x "&amp;ROUND(0.9*B443,-1)&amp;" mm)"</f>
        <v>Full Cooling Duct Between Layers 2 &amp; 3 (838 x 1050 mm)</v>
      </c>
      <c r="G452" s="218" t="str">
        <f ca="1">"Full Cooling Duct Between Layers "&amp;D452&amp;" &amp; "&amp;D452+1&amp;" ("&amp;B445&amp;" x "&amp;ROUND(1.1*B443,-1)&amp;" mm)"</f>
        <v>Full Cooling Duct Between Layers 5 &amp; 6 (838 x 1290 mm)</v>
      </c>
      <c r="H452" s="312"/>
      <c r="I452" s="274"/>
    </row>
    <row r="453" spans="1:9">
      <c r="A453" s="218"/>
      <c r="B453" s="218">
        <v>2.33</v>
      </c>
      <c r="C453" s="218">
        <f ca="1">ROUNDDOWN(B444*6/20,0)</f>
        <v>2</v>
      </c>
      <c r="D453" s="218">
        <f ca="1">ROUNDDOWN(B444*12/20,0)</f>
        <v>4</v>
      </c>
      <c r="E453" s="218">
        <f ca="1">ROUNDDOWN(B444*16/20,0)</f>
        <v>6</v>
      </c>
      <c r="F453" s="218" t="str">
        <f ca="1">"Full Cooling Duct Between Layers "&amp;C453&amp;" &amp; "&amp;C453+1&amp;" ("&amp;B445&amp;" x "&amp;ROUND(0.85*B443,-1)&amp;" mm)"</f>
        <v>Full Cooling Duct Between Layers 2 &amp; 3 (838 x 990 mm)</v>
      </c>
      <c r="G453" s="218" t="str">
        <f ca="1">"Full Cooling Duct Between Layers "&amp;D453&amp;" &amp; "&amp;D453+1&amp;" ("&amp;B445&amp;" x "&amp;ROUND(B443,-1)&amp;" mm)"</f>
        <v>Full Cooling Duct Between Layers 4 &amp; 5 (838 x 1170 mm)</v>
      </c>
      <c r="H453" s="312" t="str">
        <f ca="1">"1/3 Cooling Duct Between Layers "&amp;E453&amp;" &amp; "&amp;E453+1&amp;" ("&amp;B445&amp;" x "&amp;ROUND(1.15*B443/3,-1)&amp;" mm)"</f>
        <v>1/3 Cooling Duct Between Layers 6 &amp; 7 (838 x 450 mm)</v>
      </c>
      <c r="I453" s="274"/>
    </row>
    <row r="454" spans="1:9">
      <c r="A454" s="218"/>
      <c r="B454" s="218">
        <v>2.67</v>
      </c>
      <c r="C454" s="218">
        <f ca="1">ROUNDDOWN(B444*6/22,0)</f>
        <v>2</v>
      </c>
      <c r="D454" s="218">
        <f ca="1">ROUNDDOWN(B444*12/22,0)</f>
        <v>4</v>
      </c>
      <c r="E454" s="218">
        <f ca="1">ROUNDDOWN(B444*17/22,0)</f>
        <v>6</v>
      </c>
      <c r="F454" s="218" t="str">
        <f ca="1">"Full Cooling Duct Between Layers "&amp;C453&amp;" &amp; "&amp;C454+1&amp;" ("&amp;B445&amp;" x "&amp;ROUND(0.85*B443,-1)&amp;" mm)"</f>
        <v>Full Cooling Duct Between Layers 2 &amp; 3 (838 x 990 mm)</v>
      </c>
      <c r="G454" s="218" t="str">
        <f ca="1">"Full Cooling Duct Between Layers "&amp;D454&amp;" &amp; "&amp;D454+1&amp;" ("&amp;B445&amp;" x "&amp;ROUND(B443,-1)&amp;" mm)"</f>
        <v>Full Cooling Duct Between Layers 4 &amp; 5 (838 x 1170 mm)</v>
      </c>
      <c r="H454" s="312" t="str">
        <f ca="1">"2/3 Cooling Duct Between Layers "&amp;E454&amp;" &amp; "&amp;E454+1&amp;" ("&amp;B445&amp;" x "&amp;ROUND(1.15*2*B443/3,-1)&amp;" mm)"</f>
        <v>2/3 Cooling Duct Between Layers 6 &amp; 7 (838 x 900 mm)</v>
      </c>
      <c r="I454" s="274"/>
    </row>
    <row r="455" spans="1:9">
      <c r="A455" s="218"/>
      <c r="B455" s="218">
        <v>3</v>
      </c>
      <c r="C455" s="218">
        <f ca="1">ROUNDDOWN(B444*2/8,0)</f>
        <v>2</v>
      </c>
      <c r="D455" s="218">
        <f ca="1">ROUNDDOWN(B444*4/8,0)</f>
        <v>4</v>
      </c>
      <c r="E455" s="218">
        <f ca="1">ROUNDDOWN(B444*6/8,0)</f>
        <v>6</v>
      </c>
      <c r="F455" s="218" t="str">
        <f ca="1">"Full Cooling Duct Between Layers "&amp;C455&amp;" &amp; "&amp;C455+1&amp;" ("&amp;B445&amp;" x "&amp;ROUND(0.85*B443,-1)&amp;" mm)"</f>
        <v>Full Cooling Duct Between Layers 2 &amp; 3 (838 x 990 mm)</v>
      </c>
      <c r="G455" s="218" t="str">
        <f ca="1">"Full Cooling Duct Between Layers "&amp;D455&amp;" &amp; "&amp;D455+1&amp;" ("&amp;B445&amp;" x "&amp;ROUND(B443,-1)&amp;" mm)"</f>
        <v>Full Cooling Duct Between Layers 4 &amp; 5 (838 x 1170 mm)</v>
      </c>
      <c r="H455" s="312" t="str">
        <f ca="1">"Full Cooling Duct Between Layers "&amp;E455&amp;" &amp; "&amp;E455+1&amp;" ("&amp;B445&amp;" x "&amp;ROUND(1.15*B443,-1)&amp;" mm)"</f>
        <v>Full Cooling Duct Between Layers 6 &amp; 7 (838 x 1340 mm)</v>
      </c>
      <c r="I455" s="274"/>
    </row>
    <row r="457" spans="1:9">
      <c r="A457" t="s">
        <v>603</v>
      </c>
      <c r="B457">
        <f ca="1">VALUE(RIGHT(P!C60,4))</f>
        <v>3</v>
      </c>
    </row>
    <row r="458" spans="1:9">
      <c r="A458" t="s">
        <v>604</v>
      </c>
      <c r="B458">
        <f ca="1">VALUE(A174)</f>
        <v>1746.6</v>
      </c>
    </row>
    <row r="459" spans="1:9">
      <c r="A459" t="s">
        <v>605</v>
      </c>
      <c r="B459">
        <f ca="1">VALUE(B174)</f>
        <v>23</v>
      </c>
    </row>
    <row r="460" spans="1:9">
      <c r="A460" t="s">
        <v>606</v>
      </c>
      <c r="B460">
        <f ca="1">C140</f>
        <v>838</v>
      </c>
    </row>
    <row r="462" spans="1:9">
      <c r="A462" s="218"/>
      <c r="B462" s="218">
        <v>0.33</v>
      </c>
      <c r="C462" s="218">
        <f ca="1">ROUNDDOWN(B459/2,0)</f>
        <v>11</v>
      </c>
      <c r="D462" s="218"/>
      <c r="E462" s="218"/>
      <c r="F462" s="218" t="str">
        <f ca="1">"1/3 Cooling Duct Between Layers "&amp;C462&amp;" &amp; "&amp;C462+1&amp;" ("&amp;B460&amp;" x "&amp;ROUND(B458/3,-1)&amp;" mm)"</f>
        <v>1/3 Cooling Duct Between Layers 11 &amp; 12 (838 x 580 mm)</v>
      </c>
      <c r="G462" s="218" t="str">
        <f>""</f>
        <v/>
      </c>
      <c r="H462" s="218"/>
    </row>
    <row r="463" spans="1:9">
      <c r="A463" s="218"/>
      <c r="B463" s="218">
        <v>0.67</v>
      </c>
      <c r="C463" s="218">
        <f ca="1">ROUNDDOWN(B459/2,0)</f>
        <v>11</v>
      </c>
      <c r="D463" s="218"/>
      <c r="E463" s="218"/>
      <c r="F463" s="218" t="str">
        <f ca="1">"2/3 Cooling Duct Between Layers "&amp;C463&amp;" &amp; "&amp;C463+1&amp;" ("&amp;B460&amp;" x "&amp;ROUND(2*B458/3,-1)&amp;" mm)"</f>
        <v>2/3 Cooling Duct Between Layers 11 &amp; 12 (838 x 1160 mm)</v>
      </c>
      <c r="G463" s="218"/>
      <c r="H463" s="218"/>
    </row>
    <row r="464" spans="1:9">
      <c r="A464" s="218"/>
      <c r="B464" s="218">
        <v>1</v>
      </c>
      <c r="C464" s="218">
        <f ca="1">ROUNDDOWN(B459/2,0)</f>
        <v>11</v>
      </c>
      <c r="D464" s="218"/>
      <c r="E464" s="218"/>
      <c r="F464" s="218" t="str">
        <f ca="1">"Full Cooling Duct Between Layers "&amp;C464&amp;" &amp; "&amp;C464+1&amp;" ("&amp;B460&amp;" x "&amp;ROUND(B458,-1)&amp;" mm)"</f>
        <v>Full Cooling Duct Between Layers 11 &amp; 12 (838 x 1750 mm)</v>
      </c>
      <c r="G464" s="218"/>
      <c r="H464" s="218"/>
    </row>
    <row r="465" spans="1:8">
      <c r="A465" s="218"/>
      <c r="B465" s="218">
        <v>1.33</v>
      </c>
      <c r="C465" s="218">
        <f ca="1">ROUNDDOWN(B459*6/14,0)</f>
        <v>9</v>
      </c>
      <c r="D465" s="218">
        <f ca="1">ROUNDDOWN(B459*10/14,0)</f>
        <v>16</v>
      </c>
      <c r="E465" s="218"/>
      <c r="F465" s="218" t="str">
        <f ca="1">"Full Cooling Duct Between Layers "&amp;C465&amp;" &amp; "&amp;C465+1&amp;" ("&amp;B460&amp;" x "&amp;ROUND(0.9*B458,-1)&amp;" mm)"</f>
        <v>Full Cooling Duct Between Layers 9 &amp; 10 (838 x 1570 mm)</v>
      </c>
      <c r="G465" s="218" t="str">
        <f ca="1">"1/3 Cooling Duct Between Layers "&amp;D465&amp;" &amp; "&amp;D465+1&amp;" ("&amp;B460&amp;" x "&amp;ROUND(1.1*B458/3,-1)&amp;" mm)"</f>
        <v>1/3 Cooling Duct Between Layers 16 &amp; 17 (838 x 640 mm)</v>
      </c>
      <c r="H465" s="218"/>
    </row>
    <row r="466" spans="1:8">
      <c r="A466" s="218"/>
      <c r="B466" s="218">
        <v>1.67</v>
      </c>
      <c r="C466" s="218">
        <f ca="1">ROUNDDOWN(B459*6/16,0)</f>
        <v>8</v>
      </c>
      <c r="D466" s="218">
        <f ca="1">ROUNDDOWN(B459*11/16,0)</f>
        <v>15</v>
      </c>
      <c r="E466" s="218"/>
      <c r="F466" s="218" t="str">
        <f ca="1">"Full Cooling Duct Between Layers "&amp;C466&amp;" &amp; "&amp;C466+1&amp;" ("&amp;B460&amp;" x "&amp;ROUND(0.9*B458,-1)&amp;" mm)"</f>
        <v>Full Cooling Duct Between Layers 8 &amp; 9 (838 x 1570 mm)</v>
      </c>
      <c r="G466" s="218" t="str">
        <f ca="1">"2/3 Cooling Duct Between Layers "&amp;D466&amp;" &amp; "&amp;D466+1&amp;" ("&amp;B460&amp;" x "&amp;ROUND(1.1*2*B458/3,-1)&amp;" mm)"</f>
        <v>2/3 Cooling Duct Between Layers 15 &amp; 16 (838 x 1280 mm)</v>
      </c>
      <c r="H466" s="218"/>
    </row>
    <row r="467" spans="1:8">
      <c r="A467" s="218"/>
      <c r="B467" s="218">
        <v>2</v>
      </c>
      <c r="C467" s="218">
        <f ca="1">ROUNDDOWN(B459/3,0)</f>
        <v>7</v>
      </c>
      <c r="D467" s="218">
        <f ca="1">ROUNDDOWN(B459*2/3,0)</f>
        <v>15</v>
      </c>
      <c r="E467" s="218"/>
      <c r="F467" s="218" t="str">
        <f ca="1">"Full Cooling Duct Between Layers "&amp;C467&amp;" &amp; "&amp;C467+1&amp;" ("&amp;B460&amp;" x "&amp;ROUND(0.9*B458,-1)&amp;" mm)"</f>
        <v>Full Cooling Duct Between Layers 7 &amp; 8 (838 x 1570 mm)</v>
      </c>
      <c r="G467" s="218" t="str">
        <f ca="1">"Full Cooling Duct Between Layers "&amp;D467&amp;" &amp; "&amp;D467+1&amp;" ("&amp;B460&amp;" x "&amp;ROUND(1.1*B458,-1)&amp;" mm)"</f>
        <v>Full Cooling Duct Between Layers 15 &amp; 16 (838 x 1920 mm)</v>
      </c>
      <c r="H467" s="218"/>
    </row>
    <row r="468" spans="1:8">
      <c r="A468" s="218"/>
      <c r="B468" s="218">
        <v>2.33</v>
      </c>
      <c r="C468" s="218">
        <f ca="1">ROUNDDOWN(B459*6/20,0)</f>
        <v>6</v>
      </c>
      <c r="D468" s="218">
        <f ca="1">ROUNDDOWN(B459*12/20,0)</f>
        <v>13</v>
      </c>
      <c r="E468" s="218">
        <f ca="1">ROUNDDOWN(B459*16/20,0)</f>
        <v>18</v>
      </c>
      <c r="F468" s="218" t="str">
        <f ca="1">"Full Cooling Duct Between Layers "&amp;C468&amp;" &amp; "&amp;C468+1&amp;" ("&amp;B460&amp;" x "&amp;ROUND(0.85*B458,-1)&amp;" mm)"</f>
        <v>Full Cooling Duct Between Layers 6 &amp; 7 (838 x 1480 mm)</v>
      </c>
      <c r="G468" s="218" t="str">
        <f ca="1">"Full Cooling Duct Between Layers "&amp;D468&amp;" &amp; "&amp;D468+1&amp;" ("&amp;B460&amp;" x "&amp;ROUND(B458,-1)&amp;" mm)"</f>
        <v>Full Cooling Duct Between Layers 13 &amp; 14 (838 x 1750 mm)</v>
      </c>
      <c r="H468" s="218" t="str">
        <f ca="1">"1/3 Cooling Duct Between Layers "&amp;E468&amp;" &amp; "&amp;E468+1&amp;" ("&amp;B460&amp;" x "&amp;ROUND(1.15*B458/3,-1)&amp;" mm)"</f>
        <v>1/3 Cooling Duct Between Layers 18 &amp; 19 (838 x 670 mm)</v>
      </c>
    </row>
    <row r="469" spans="1:8">
      <c r="A469" s="218"/>
      <c r="B469" s="218">
        <v>2.67</v>
      </c>
      <c r="C469" s="218">
        <f ca="1">ROUNDDOWN(B459*6/22,0)</f>
        <v>6</v>
      </c>
      <c r="D469" s="218">
        <f ca="1">ROUNDDOWN(B459*12/22,0)</f>
        <v>12</v>
      </c>
      <c r="E469" s="218">
        <f ca="1">ROUNDDOWN(B459*17/22,0)</f>
        <v>17</v>
      </c>
      <c r="F469" s="218" t="str">
        <f ca="1">"Full Cooling Duct Between Layers "&amp;C468&amp;" &amp; "&amp;C469+1&amp;" ("&amp;B460&amp;" x "&amp;ROUND(0.85*B458,-1)&amp;" mm)"</f>
        <v>Full Cooling Duct Between Layers 6 &amp; 7 (838 x 1480 mm)</v>
      </c>
      <c r="G469" s="218" t="str">
        <f ca="1">"Full Cooling Duct Between Layers "&amp;D469&amp;" &amp; "&amp;D469+1&amp;" ("&amp;B460&amp;" x "&amp;ROUND(B458,-1)&amp;" mm)"</f>
        <v>Full Cooling Duct Between Layers 12 &amp; 13 (838 x 1750 mm)</v>
      </c>
      <c r="H469" s="218" t="str">
        <f ca="1">"2/3 Cooling Duct Between Layers "&amp;E469&amp;" &amp; "&amp;E469+1&amp;" ("&amp;B460&amp;" x "&amp;ROUND(1.15*2*B458/3,-1)&amp;" mm)"</f>
        <v>2/3 Cooling Duct Between Layers 17 &amp; 18 (838 x 1340 mm)</v>
      </c>
    </row>
    <row r="470" spans="1:8">
      <c r="A470" s="218"/>
      <c r="B470" s="218">
        <v>3</v>
      </c>
      <c r="C470" s="218">
        <f ca="1">ROUNDDOWN(B459*2/8,0)</f>
        <v>5</v>
      </c>
      <c r="D470" s="218">
        <f ca="1">ROUNDDOWN(B459*4/8,0)</f>
        <v>11</v>
      </c>
      <c r="E470" s="218">
        <f ca="1">ROUNDDOWN(B459*6/8,0)</f>
        <v>17</v>
      </c>
      <c r="F470" s="218" t="str">
        <f ca="1">"Full Cooling Duct Between Layers "&amp;C470&amp;" &amp; "&amp;C470+1&amp;" ("&amp;B460&amp;" x "&amp;ROUND(0.85*B458,-1)&amp;" mm)"</f>
        <v>Full Cooling Duct Between Layers 5 &amp; 6 (838 x 1480 mm)</v>
      </c>
      <c r="G470" s="218" t="str">
        <f ca="1">"Full Cooling Duct Between Layers "&amp;D470&amp;" &amp; "&amp;D470+1&amp;" ("&amp;B460&amp;" x "&amp;ROUND(B458,-1)&amp;" mm)"</f>
        <v>Full Cooling Duct Between Layers 11 &amp; 12 (838 x 1750 mm)</v>
      </c>
      <c r="H470" s="218" t="str">
        <f ca="1">"Full Cooling Duct Between Layers "&amp;E470&amp;" &amp; "&amp;E470+1&amp;" ("&amp;B460&amp;" x "&amp;ROUND(1.15*B458,-1)&amp;" mm)"</f>
        <v>Full Cooling Duct Between Layers 17 &amp; 18 (838 x 2010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P170"/>
  <sheetViews>
    <sheetView showZeros="0" tabSelected="1" topLeftCell="A8" zoomScale="90" zoomScaleNormal="90" workbookViewId="0">
      <selection activeCell="C24" sqref="C24"/>
    </sheetView>
  </sheetViews>
  <sheetFormatPr defaultRowHeight="12.75"/>
  <cols>
    <col min="1" max="1" width="4.5703125" customWidth="1"/>
    <col min="2" max="2" width="16.7109375" customWidth="1"/>
    <col min="3" max="3" width="28.5703125" customWidth="1"/>
    <col min="4" max="4" width="5" customWidth="1"/>
    <col min="5" max="5" width="7.7109375" style="70" customWidth="1"/>
    <col min="6" max="6" width="7.7109375" customWidth="1"/>
    <col min="7" max="7" width="11.28515625" style="70" customWidth="1"/>
    <col min="8" max="8" width="7.7109375" customWidth="1"/>
    <col min="9" max="9" width="14.7109375" style="70" bestFit="1" customWidth="1"/>
    <col min="10" max="10" width="15" customWidth="1"/>
    <col min="12" max="12" width="32.5703125" customWidth="1"/>
    <col min="13" max="13" width="19.85546875" customWidth="1"/>
    <col min="14" max="14" width="17.140625" customWidth="1"/>
    <col min="15" max="15" width="19.28515625" customWidth="1"/>
  </cols>
  <sheetData>
    <row r="1" spans="1:16" s="70" customFormat="1">
      <c r="A1" s="4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75" customHeight="1">
      <c r="A2" s="434" t="s">
        <v>607</v>
      </c>
      <c r="B2" s="435"/>
      <c r="C2" s="435"/>
      <c r="D2" s="435"/>
      <c r="E2" s="435"/>
      <c r="F2" s="435"/>
      <c r="G2" s="435"/>
      <c r="H2" s="435"/>
      <c r="I2" s="435"/>
      <c r="J2" s="435"/>
    </row>
    <row r="3" spans="1:16">
      <c r="A3" s="80"/>
      <c r="E3" s="1"/>
      <c r="G3" s="1"/>
      <c r="I3" s="1"/>
    </row>
    <row r="4" spans="1:16" ht="15.75" customHeight="1">
      <c r="A4" s="436" t="s">
        <v>608</v>
      </c>
      <c r="B4" s="436"/>
      <c r="C4" s="437" t="str">
        <f ca="1">Techspecs!F11&amp;Q!A46&amp;" "&amp;Q!B47&amp;"/"&amp;Q!B48&amp;"V"</f>
        <v>4000kVA 33000/415V</v>
      </c>
      <c r="D4" s="437"/>
      <c r="E4" s="437"/>
      <c r="F4" s="437"/>
      <c r="G4" s="437"/>
      <c r="H4" s="437"/>
      <c r="I4" s="437"/>
      <c r="J4" s="437"/>
    </row>
    <row r="5" spans="1:16" ht="15.75" customHeight="1">
      <c r="A5" s="436" t="s">
        <v>609</v>
      </c>
      <c r="B5" s="436"/>
      <c r="C5" s="217">
        <f>Techspecs!C8</f>
        <v>0</v>
      </c>
      <c r="D5" s="217"/>
      <c r="E5" s="217"/>
      <c r="F5" s="217"/>
      <c r="G5" s="217"/>
      <c r="H5" s="217"/>
      <c r="I5" s="217"/>
      <c r="J5" s="217"/>
    </row>
    <row r="6" spans="1:16" ht="15.75" customHeight="1">
      <c r="A6" s="436" t="s">
        <v>610</v>
      </c>
      <c r="B6" s="436"/>
      <c r="C6" s="437" t="s">
        <v>1187</v>
      </c>
      <c r="D6" s="437"/>
      <c r="E6" s="437"/>
      <c r="F6" s="437"/>
      <c r="G6" s="437"/>
      <c r="H6" s="437"/>
      <c r="I6" s="437"/>
      <c r="J6" s="437"/>
    </row>
    <row r="7" spans="1:16" ht="15.75" customHeight="1">
      <c r="A7" s="436" t="s">
        <v>611</v>
      </c>
      <c r="B7" s="436"/>
      <c r="C7" s="437">
        <v>1</v>
      </c>
      <c r="D7" s="437"/>
      <c r="E7" s="437"/>
      <c r="F7" s="437"/>
      <c r="G7" s="437"/>
      <c r="H7" s="437"/>
      <c r="I7" s="437"/>
      <c r="J7" s="437"/>
    </row>
    <row r="8" spans="1:16" ht="13.5" thickBot="1">
      <c r="A8" s="81"/>
      <c r="B8" s="82"/>
      <c r="C8" s="82"/>
      <c r="D8" s="82"/>
      <c r="E8" s="390"/>
      <c r="F8" s="82"/>
      <c r="G8" s="390"/>
      <c r="H8" s="82"/>
      <c r="I8" s="390"/>
      <c r="J8" s="82"/>
    </row>
    <row r="9" spans="1:16" ht="28.5" customHeight="1" thickBot="1">
      <c r="A9" s="233"/>
      <c r="B9" s="234" t="s">
        <v>612</v>
      </c>
      <c r="C9" s="234" t="s">
        <v>420</v>
      </c>
      <c r="D9" s="234" t="s">
        <v>613</v>
      </c>
      <c r="E9" s="234" t="s">
        <v>421</v>
      </c>
      <c r="F9" s="234" t="s">
        <v>614</v>
      </c>
      <c r="G9" s="234" t="s">
        <v>615</v>
      </c>
      <c r="H9" s="234" t="s">
        <v>616</v>
      </c>
      <c r="I9" s="234" t="s">
        <v>617</v>
      </c>
      <c r="J9" s="235" t="s">
        <v>618</v>
      </c>
      <c r="L9" s="327"/>
      <c r="M9" s="327"/>
      <c r="N9" s="327"/>
      <c r="O9" s="327"/>
    </row>
    <row r="10" spans="1:16" ht="12.75" customHeight="1">
      <c r="A10" s="83"/>
      <c r="B10" s="84" t="s">
        <v>620</v>
      </c>
      <c r="C10" s="85"/>
      <c r="D10" s="391"/>
      <c r="E10" s="86" t="s">
        <v>621</v>
      </c>
      <c r="F10" s="392"/>
      <c r="G10" s="87"/>
      <c r="H10" s="88"/>
      <c r="I10" s="89"/>
      <c r="J10" s="90"/>
      <c r="O10" s="185"/>
    </row>
    <row r="11" spans="1:16" s="679" customFormat="1" ht="15">
      <c r="A11" s="672">
        <v>1</v>
      </c>
      <c r="B11" s="673" t="s">
        <v>218</v>
      </c>
      <c r="C11" s="673" t="str">
        <f>Q!A220</f>
        <v>Inhibited Mineral Oil</v>
      </c>
      <c r="D11" s="673" t="s">
        <v>169</v>
      </c>
      <c r="E11" s="674">
        <f ca="1">Q!B220</f>
        <v>3250.5747126436781</v>
      </c>
      <c r="F11" s="675">
        <v>1.3</v>
      </c>
      <c r="G11" s="676">
        <f ca="1">E11*F11</f>
        <v>4225.7471264367814</v>
      </c>
      <c r="H11" s="677">
        <f ca="1">G11/G$145</f>
        <v>5.5204079263972215E-2</v>
      </c>
      <c r="I11" s="676">
        <f ca="1">E11*$C$7</f>
        <v>3250.5747126436781</v>
      </c>
      <c r="J11" s="678"/>
      <c r="M11" s="680"/>
      <c r="O11" s="680"/>
    </row>
    <row r="12" spans="1:16" ht="15">
      <c r="A12" s="91">
        <v>2</v>
      </c>
      <c r="B12" s="42"/>
      <c r="C12" s="220"/>
      <c r="D12" s="20"/>
      <c r="E12" s="100"/>
      <c r="F12" s="317"/>
      <c r="G12" s="153"/>
      <c r="H12" s="68"/>
      <c r="I12" s="152"/>
      <c r="J12" s="60"/>
      <c r="M12" s="185"/>
      <c r="O12" s="185"/>
    </row>
    <row r="13" spans="1:16" ht="15">
      <c r="A13" s="94"/>
      <c r="B13" s="23" t="s">
        <v>622</v>
      </c>
      <c r="C13" s="24"/>
      <c r="D13" s="22"/>
      <c r="E13" s="30"/>
      <c r="F13" s="318"/>
      <c r="G13" s="102"/>
      <c r="H13" s="69"/>
      <c r="I13" s="73"/>
      <c r="J13" s="61"/>
      <c r="O13" s="185"/>
    </row>
    <row r="14" spans="1:16" s="679" customFormat="1" ht="14.25" customHeight="1">
      <c r="A14" s="672">
        <v>3</v>
      </c>
      <c r="B14" s="673" t="s">
        <v>623</v>
      </c>
      <c r="C14" s="673" t="str">
        <f ca="1">Q!A209</f>
        <v xml:space="preserve"> 800.00 x 3.00mm CU-Foil</v>
      </c>
      <c r="D14" s="673" t="s">
        <v>619</v>
      </c>
      <c r="E14" s="674">
        <f ca="1">Q!B209</f>
        <v>603.53</v>
      </c>
      <c r="F14" s="675">
        <v>10.82</v>
      </c>
      <c r="G14" s="676">
        <f t="shared" ref="G14:G19" ca="1" si="0">E14*F14</f>
        <v>6530.1945999999998</v>
      </c>
      <c r="H14" s="677">
        <f t="shared" ref="H14:H21" ca="1" si="1">G14/G$145</f>
        <v>8.5308791444777529E-2</v>
      </c>
      <c r="I14" s="676">
        <f ca="1">E14*$C$7</f>
        <v>603.53</v>
      </c>
      <c r="J14" s="681">
        <f t="shared" ref="J14:J19" ca="1" si="2">E14/3</f>
        <v>201.17666666666665</v>
      </c>
      <c r="M14" s="680"/>
      <c r="O14" s="680"/>
    </row>
    <row r="15" spans="1:16" s="679" customFormat="1" ht="14.25" customHeight="1">
      <c r="A15" s="672">
        <v>4</v>
      </c>
      <c r="B15" s="682" t="s">
        <v>1000</v>
      </c>
      <c r="C15" s="673" t="str">
        <f ca="1">Q!A219</f>
        <v>20*100mm</v>
      </c>
      <c r="D15" s="673" t="s">
        <v>619</v>
      </c>
      <c r="E15" s="674">
        <f ca="1">Q!B217</f>
        <v>184.32999999999998</v>
      </c>
      <c r="F15" s="675">
        <v>10.01</v>
      </c>
      <c r="G15" s="676">
        <f t="shared" ca="1" si="0"/>
        <v>1845.1432999999997</v>
      </c>
      <c r="H15" s="677">
        <f t="shared" ca="1" si="1"/>
        <v>2.4104479974521521E-2</v>
      </c>
      <c r="I15" s="676">
        <f t="shared" ref="I15:I21" ca="1" si="3">E15*$C$7</f>
        <v>184.32999999999998</v>
      </c>
      <c r="J15" s="681">
        <f t="shared" ca="1" si="2"/>
        <v>61.443333333333328</v>
      </c>
      <c r="M15" s="680"/>
      <c r="O15" s="680"/>
    </row>
    <row r="16" spans="1:16" ht="14.25" customHeight="1">
      <c r="A16" s="417">
        <v>5</v>
      </c>
      <c r="B16" s="20" t="s">
        <v>624</v>
      </c>
      <c r="C16" s="20" t="str">
        <f ca="1">Q!A149</f>
        <v>838mm x 0.15 DDP DL</v>
      </c>
      <c r="D16" s="20" t="s">
        <v>619</v>
      </c>
      <c r="E16" s="100">
        <f ca="1">Q!B149</f>
        <v>10.31</v>
      </c>
      <c r="F16" s="316">
        <v>9.0299999999999994</v>
      </c>
      <c r="G16" s="152">
        <f t="shared" ca="1" si="0"/>
        <v>93.099299999999999</v>
      </c>
      <c r="H16" s="67">
        <f t="shared" ca="1" si="1"/>
        <v>1.2162254348981848E-3</v>
      </c>
      <c r="I16" s="152">
        <f t="shared" ca="1" si="3"/>
        <v>10.31</v>
      </c>
      <c r="J16" s="226">
        <f t="shared" ca="1" si="2"/>
        <v>3.436666666666667</v>
      </c>
      <c r="M16" s="185"/>
      <c r="O16" s="185"/>
    </row>
    <row r="17" spans="1:15" ht="14.25" customHeight="1">
      <c r="A17" s="417">
        <v>6</v>
      </c>
      <c r="B17" s="20" t="s">
        <v>625</v>
      </c>
      <c r="C17" s="20" t="str">
        <f ca="1">Q!A150</f>
        <v>838mm x 0.15 DDP SL</v>
      </c>
      <c r="D17" s="20" t="s">
        <v>619</v>
      </c>
      <c r="E17" s="99">
        <f ca="1">Q!B150</f>
        <v>0</v>
      </c>
      <c r="F17" s="316">
        <v>5.0199999999999996</v>
      </c>
      <c r="G17" s="152">
        <f t="shared" ref="G17:G18" ca="1" si="4">E17*F17</f>
        <v>0</v>
      </c>
      <c r="H17" s="67">
        <f t="shared" ca="1" si="1"/>
        <v>0</v>
      </c>
      <c r="I17" s="152">
        <f t="shared" ca="1" si="3"/>
        <v>0</v>
      </c>
      <c r="J17" s="226">
        <f t="shared" ref="J17:J18" ca="1" si="5">E17/3</f>
        <v>0</v>
      </c>
      <c r="M17" s="185"/>
      <c r="O17" s="185"/>
    </row>
    <row r="18" spans="1:15" ht="14.25" customHeight="1">
      <c r="A18" s="417">
        <v>7</v>
      </c>
      <c r="B18" s="20" t="s">
        <v>625</v>
      </c>
      <c r="C18" s="20" t="str">
        <f ca="1">Q!A151</f>
        <v>838mm x 0.25 DDP SL</v>
      </c>
      <c r="D18" s="20" t="s">
        <v>619</v>
      </c>
      <c r="E18" s="99">
        <f ca="1">Q!B151</f>
        <v>0</v>
      </c>
      <c r="F18" s="316">
        <v>4.4800000000000004</v>
      </c>
      <c r="G18" s="152">
        <f t="shared" ca="1" si="4"/>
        <v>0</v>
      </c>
      <c r="H18" s="67">
        <f t="shared" ca="1" si="1"/>
        <v>0</v>
      </c>
      <c r="I18" s="152">
        <f t="shared" ca="1" si="3"/>
        <v>0</v>
      </c>
      <c r="J18" s="226">
        <f t="shared" ca="1" si="5"/>
        <v>0</v>
      </c>
    </row>
    <row r="19" spans="1:15" ht="14.25" customHeight="1">
      <c r="A19" s="417">
        <v>8</v>
      </c>
      <c r="B19" s="20" t="s">
        <v>626</v>
      </c>
      <c r="C19" s="20" t="str">
        <f ca="1">Q!A171&amp;" x "&amp;Q!B171&amp;"mm "</f>
        <v xml:space="preserve">18 x 0.25mm </v>
      </c>
      <c r="D19" s="20" t="s">
        <v>619</v>
      </c>
      <c r="E19" s="99">
        <f ca="1">Q!B170</f>
        <v>2.8964244096000002</v>
      </c>
      <c r="F19" s="316">
        <v>5.09</v>
      </c>
      <c r="G19" s="152">
        <f t="shared" ca="1" si="0"/>
        <v>14.742800244864</v>
      </c>
      <c r="H19" s="67">
        <f t="shared" ca="1" si="1"/>
        <v>1.9259617031950596E-4</v>
      </c>
      <c r="I19" s="152">
        <f t="shared" ca="1" si="3"/>
        <v>2.8964244096000002</v>
      </c>
      <c r="J19" s="226">
        <f t="shared" ca="1" si="2"/>
        <v>0.96547480320000012</v>
      </c>
      <c r="M19" s="185"/>
      <c r="O19" s="185"/>
    </row>
    <row r="20" spans="1:15" ht="14.25" customHeight="1">
      <c r="A20" s="417">
        <v>9</v>
      </c>
      <c r="B20" s="20" t="s">
        <v>627</v>
      </c>
      <c r="C20" s="20" t="str">
        <f ca="1">Q!B46&amp;"/"&amp;LEFT(Q!B47,2)&amp;IF(C5=0,""," "&amp;C5)&amp;" INLV"</f>
        <v>4000/33 INLV</v>
      </c>
      <c r="D20" s="20" t="s">
        <v>628</v>
      </c>
      <c r="E20" s="324">
        <v>3</v>
      </c>
      <c r="F20" s="316">
        <v>200</v>
      </c>
      <c r="G20" s="152">
        <f t="shared" ref="G20" si="6">E20*F20</f>
        <v>600</v>
      </c>
      <c r="H20" s="67">
        <f t="shared" ca="1" si="1"/>
        <v>7.8382464845483356E-3</v>
      </c>
      <c r="I20" s="152">
        <f t="shared" si="3"/>
        <v>3</v>
      </c>
      <c r="J20" s="226"/>
      <c r="M20" s="185"/>
      <c r="O20" s="185"/>
    </row>
    <row r="21" spans="1:15" ht="14.25" customHeight="1">
      <c r="A21" s="91">
        <v>10</v>
      </c>
      <c r="B21" s="42"/>
      <c r="C21" s="220"/>
      <c r="D21" s="20"/>
      <c r="E21" s="100"/>
      <c r="F21" s="317"/>
      <c r="G21" s="153"/>
      <c r="H21" s="67">
        <f t="shared" ca="1" si="1"/>
        <v>0</v>
      </c>
      <c r="I21" s="152">
        <f t="shared" si="3"/>
        <v>0</v>
      </c>
      <c r="J21" s="226"/>
      <c r="M21" s="185"/>
      <c r="O21" s="185"/>
    </row>
    <row r="22" spans="1:15" ht="14.25" customHeight="1">
      <c r="A22" s="94"/>
      <c r="B22" s="23" t="s">
        <v>629</v>
      </c>
      <c r="C22" s="24"/>
      <c r="D22" s="22"/>
      <c r="E22" s="30"/>
      <c r="F22" s="318"/>
      <c r="G22" s="102"/>
      <c r="H22" s="69"/>
      <c r="I22" s="73"/>
      <c r="J22" s="61"/>
      <c r="M22" s="185"/>
      <c r="O22" s="185"/>
    </row>
    <row r="23" spans="1:15" ht="15.75" customHeight="1">
      <c r="A23" s="422">
        <v>11</v>
      </c>
      <c r="B23" s="20" t="s">
        <v>630</v>
      </c>
      <c r="C23" s="20" t="str">
        <f ca="1">TRIM(Q!A213)</f>
        <v>2.700 x 6.700mm CU-Rectangular</v>
      </c>
      <c r="D23" s="20" t="s">
        <v>619</v>
      </c>
      <c r="E23" s="99">
        <f ca="1">Q!B213</f>
        <v>1905.56</v>
      </c>
      <c r="F23" s="316">
        <v>10.41</v>
      </c>
      <c r="G23" s="152">
        <f t="shared" ref="G23:G38" ca="1" si="7">E23*F23</f>
        <v>19836.8796</v>
      </c>
      <c r="H23" s="67">
        <f t="shared" ref="H23:H28" ca="1" si="8">G23/G$145</f>
        <v>0.2591439196485143</v>
      </c>
      <c r="I23" s="152">
        <f t="shared" ref="I23:I38" ca="1" si="9">E23*$C$7</f>
        <v>1905.56</v>
      </c>
      <c r="J23" s="226">
        <f ca="1">E23/3</f>
        <v>635.18666666666661</v>
      </c>
    </row>
    <row r="24" spans="1:15" ht="15.75" customHeight="1">
      <c r="A24" s="417">
        <v>12</v>
      </c>
      <c r="B24" s="20" t="s">
        <v>625</v>
      </c>
      <c r="C24" s="43" t="str">
        <f ca="1">Q!A155</f>
        <v>838mm x 0.15 DDP SL</v>
      </c>
      <c r="D24" s="20" t="s">
        <v>619</v>
      </c>
      <c r="E24" s="99">
        <f ca="1">Q!B155</f>
        <v>0</v>
      </c>
      <c r="F24" s="316">
        <v>5.0199999999999996</v>
      </c>
      <c r="G24" s="152">
        <f t="shared" ca="1" si="7"/>
        <v>0</v>
      </c>
      <c r="H24" s="67">
        <f t="shared" ca="1" si="8"/>
        <v>0</v>
      </c>
      <c r="I24" s="152">
        <f t="shared" ca="1" si="9"/>
        <v>0</v>
      </c>
      <c r="J24" s="226">
        <f t="shared" ref="J24:J27" ca="1" si="10">E24/3</f>
        <v>0</v>
      </c>
      <c r="M24" s="185"/>
      <c r="O24" s="185"/>
    </row>
    <row r="25" spans="1:15" ht="15">
      <c r="A25" s="418">
        <v>13</v>
      </c>
      <c r="B25" s="20" t="s">
        <v>625</v>
      </c>
      <c r="C25" s="43" t="str">
        <f ca="1">Q!A156</f>
        <v>838mm x 0.25 DDP SL</v>
      </c>
      <c r="D25" s="20" t="s">
        <v>619</v>
      </c>
      <c r="E25" s="99">
        <f ca="1">Q!B156</f>
        <v>75.45</v>
      </c>
      <c r="F25" s="316">
        <v>4.4800000000000004</v>
      </c>
      <c r="G25" s="152">
        <f t="shared" ca="1" si="7"/>
        <v>338.01600000000002</v>
      </c>
      <c r="H25" s="67">
        <f t="shared" ca="1" si="8"/>
        <v>4.4157545395351501E-3</v>
      </c>
      <c r="I25" s="152">
        <f t="shared" ca="1" si="9"/>
        <v>75.45</v>
      </c>
      <c r="J25" s="226">
        <f t="shared" ca="1" si="10"/>
        <v>25.150000000000002</v>
      </c>
      <c r="M25" s="185"/>
      <c r="O25" s="185"/>
    </row>
    <row r="26" spans="1:15" ht="15">
      <c r="A26" s="418">
        <v>14</v>
      </c>
      <c r="B26" s="20" t="s">
        <v>631</v>
      </c>
      <c r="C26" s="20" t="str">
        <f ca="1">IF(OR(Q!B155=0,Q!B156=0),IF(Q!C159=0,Q!A160,Q!A159))</f>
        <v>(45 - 59.4) x 0.075 mm Strip</v>
      </c>
      <c r="D26" s="20" t="s">
        <v>619</v>
      </c>
      <c r="E26" s="100">
        <f ca="1">IF('Bill of Materials'!C26=Q!A159,Q!B159,Q!B160)</f>
        <v>0</v>
      </c>
      <c r="F26" s="316">
        <v>4.8899999999999997</v>
      </c>
      <c r="G26" s="152">
        <f t="shared" ca="1" si="7"/>
        <v>0</v>
      </c>
      <c r="H26" s="67">
        <f t="shared" ca="1" si="8"/>
        <v>0</v>
      </c>
      <c r="I26" s="152">
        <f t="shared" ca="1" si="9"/>
        <v>0</v>
      </c>
      <c r="J26" s="226">
        <f t="shared" ca="1" si="10"/>
        <v>0</v>
      </c>
      <c r="M26" s="185"/>
      <c r="O26" s="185"/>
    </row>
    <row r="27" spans="1:15" ht="15">
      <c r="A27" s="418">
        <v>15</v>
      </c>
      <c r="B27" s="20" t="s">
        <v>632</v>
      </c>
      <c r="C27" s="20" t="str">
        <f ca="1">Q!A176&amp;" x "&amp;Q!B176&amp;"mm "</f>
        <v xml:space="preserve">(45 - 59.4) x 0.25mm </v>
      </c>
      <c r="D27" s="20" t="s">
        <v>619</v>
      </c>
      <c r="E27" s="100">
        <f ca="1">IF(E26=0,Q!B175,0)</f>
        <v>15.971423900399998</v>
      </c>
      <c r="F27" s="316">
        <v>5.09</v>
      </c>
      <c r="G27" s="152">
        <f t="shared" ca="1" si="7"/>
        <v>81.294547653035991</v>
      </c>
      <c r="H27" s="67">
        <f t="shared" ca="1" si="8"/>
        <v>1.062011170590594E-3</v>
      </c>
      <c r="I27" s="152">
        <f t="shared" ca="1" si="9"/>
        <v>15.971423900399998</v>
      </c>
      <c r="J27" s="226">
        <f t="shared" ca="1" si="10"/>
        <v>5.3238079667999996</v>
      </c>
      <c r="M27" s="185"/>
      <c r="O27" s="185"/>
    </row>
    <row r="28" spans="1:15" ht="15">
      <c r="A28" s="418">
        <v>16</v>
      </c>
      <c r="B28" s="20" t="s">
        <v>633</v>
      </c>
      <c r="C28" s="20" t="str">
        <f ca="1">Q!B46&amp;"/"&amp;LEFT(Q!B47,2)&amp;IF(C5=0,""," "&amp;C5)&amp;" INHV"</f>
        <v>4000/33 INHV</v>
      </c>
      <c r="D28" s="20" t="s">
        <v>628</v>
      </c>
      <c r="E28" s="324">
        <v>3</v>
      </c>
      <c r="F28" s="316">
        <v>650</v>
      </c>
      <c r="G28" s="152">
        <f t="shared" si="7"/>
        <v>1950</v>
      </c>
      <c r="H28" s="67">
        <f t="shared" ca="1" si="8"/>
        <v>2.5474301074782088E-2</v>
      </c>
      <c r="I28" s="152">
        <f t="shared" si="9"/>
        <v>3</v>
      </c>
      <c r="J28" s="226"/>
    </row>
    <row r="29" spans="1:15" ht="15">
      <c r="A29" s="93">
        <v>17</v>
      </c>
      <c r="B29" s="43"/>
      <c r="C29" s="43"/>
      <c r="D29" s="20"/>
      <c r="E29" s="99"/>
      <c r="F29" s="316"/>
      <c r="G29" s="152"/>
      <c r="H29" s="67"/>
      <c r="I29" s="152"/>
      <c r="J29" s="226"/>
      <c r="M29" s="185"/>
      <c r="O29" s="185"/>
    </row>
    <row r="30" spans="1:15" ht="15">
      <c r="A30" s="94"/>
      <c r="B30" s="23" t="s">
        <v>634</v>
      </c>
      <c r="C30" s="24"/>
      <c r="D30" s="22"/>
      <c r="E30" s="30"/>
      <c r="F30" s="318"/>
      <c r="G30" s="102"/>
      <c r="H30" s="69"/>
      <c r="I30" s="73"/>
      <c r="J30" s="61"/>
      <c r="M30" s="185"/>
      <c r="O30" s="185"/>
    </row>
    <row r="31" spans="1:15" ht="15">
      <c r="A31" s="418">
        <v>18</v>
      </c>
      <c r="B31" s="43" t="s">
        <v>635</v>
      </c>
      <c r="C31" s="43" t="s">
        <v>636</v>
      </c>
      <c r="D31" s="20" t="s">
        <v>619</v>
      </c>
      <c r="E31" s="99">
        <f ca="1">IF(ISERROR(Q!M47+Q!N47),0,Q!M47+Q!N47)</f>
        <v>0</v>
      </c>
      <c r="F31" s="316">
        <v>13.13</v>
      </c>
      <c r="G31" s="152">
        <f t="shared" ca="1" si="7"/>
        <v>0</v>
      </c>
      <c r="H31" s="67">
        <f t="shared" ref="H31:H36" ca="1" si="11">G31/G$145</f>
        <v>0</v>
      </c>
      <c r="I31" s="152">
        <f t="shared" ca="1" si="9"/>
        <v>0</v>
      </c>
      <c r="J31" s="60"/>
      <c r="M31" s="185"/>
      <c r="O31" s="185"/>
    </row>
    <row r="32" spans="1:15" ht="15">
      <c r="A32" s="93">
        <v>19</v>
      </c>
      <c r="B32" s="43" t="s">
        <v>637</v>
      </c>
      <c r="C32" s="43" t="s">
        <v>638</v>
      </c>
      <c r="D32" s="20" t="s">
        <v>619</v>
      </c>
      <c r="E32" s="99">
        <f ca="1">IF(ISERROR(Q!M48+Q!N48),0,Q!M48+Q!N48)</f>
        <v>13</v>
      </c>
      <c r="F32" s="316">
        <v>10.01</v>
      </c>
      <c r="G32" s="152">
        <f t="shared" ref="G32:G35" ca="1" si="12">E32*F32</f>
        <v>130.13</v>
      </c>
      <c r="H32" s="67">
        <f t="shared" ca="1" si="11"/>
        <v>1.6999850250571248E-3</v>
      </c>
      <c r="I32" s="152">
        <f t="shared" ref="I32:I35" ca="1" si="13">E32*$C$7</f>
        <v>13</v>
      </c>
      <c r="J32" s="60"/>
      <c r="M32" s="185"/>
      <c r="O32" s="185"/>
    </row>
    <row r="33" spans="1:15" ht="15">
      <c r="A33" s="93">
        <v>20</v>
      </c>
      <c r="B33" s="43" t="s">
        <v>637</v>
      </c>
      <c r="C33" s="43" t="s">
        <v>639</v>
      </c>
      <c r="D33" s="20" t="s">
        <v>619</v>
      </c>
      <c r="E33" s="99">
        <f ca="1">IF(ISERROR(Q!M49+Q!N49),0,Q!M49+Q!N49)</f>
        <v>4.333333333333333</v>
      </c>
      <c r="F33" s="316">
        <v>10.01</v>
      </c>
      <c r="G33" s="152">
        <f t="shared" ca="1" si="12"/>
        <v>43.376666666666665</v>
      </c>
      <c r="H33" s="67">
        <f t="shared" ca="1" si="11"/>
        <v>5.6666167501904152E-4</v>
      </c>
      <c r="I33" s="152">
        <f t="shared" ca="1" si="13"/>
        <v>4.333333333333333</v>
      </c>
      <c r="J33" s="60"/>
    </row>
    <row r="34" spans="1:15" ht="15">
      <c r="A34" s="418">
        <v>21</v>
      </c>
      <c r="B34" s="43" t="s">
        <v>640</v>
      </c>
      <c r="C34" s="227" t="str">
        <f ca="1">Q!B46&amp;"/"&amp;LEFT(Q!B47,2)&amp;IF(C5=0,""," "&amp;C5)&amp;" CUFX"</f>
        <v>4000/33 CUFX</v>
      </c>
      <c r="D34" s="20" t="s">
        <v>628</v>
      </c>
      <c r="E34" s="99">
        <v>4</v>
      </c>
      <c r="F34" s="316">
        <v>200</v>
      </c>
      <c r="G34" s="152">
        <f t="shared" si="12"/>
        <v>800</v>
      </c>
      <c r="H34" s="67">
        <f t="shared" ca="1" si="11"/>
        <v>1.0450995312731113E-2</v>
      </c>
      <c r="I34" s="152">
        <f t="shared" si="13"/>
        <v>4</v>
      </c>
      <c r="J34" s="60"/>
      <c r="M34" s="185"/>
      <c r="O34" s="185"/>
    </row>
    <row r="35" spans="1:15" ht="15">
      <c r="A35" s="418">
        <v>22</v>
      </c>
      <c r="B35" s="20" t="s">
        <v>641</v>
      </c>
      <c r="C35" s="227" t="str">
        <f ca="1">Q!B46&amp;"/"&amp;LEFT(Q!B47,2)&amp;IF(C5=0,""," "&amp;C5)&amp;" TMBC &amp; TMAS"</f>
        <v>4000/33 TMBC &amp; TMAS</v>
      </c>
      <c r="D35" s="20" t="s">
        <v>628</v>
      </c>
      <c r="E35" s="99">
        <v>1</v>
      </c>
      <c r="F35" s="316">
        <v>1200</v>
      </c>
      <c r="G35" s="152">
        <f t="shared" si="12"/>
        <v>1200</v>
      </c>
      <c r="H35" s="67">
        <f t="shared" ca="1" si="11"/>
        <v>1.5676492969096671E-2</v>
      </c>
      <c r="I35" s="152">
        <f t="shared" si="13"/>
        <v>1</v>
      </c>
      <c r="J35" s="60"/>
      <c r="M35" s="185"/>
    </row>
    <row r="36" spans="1:15" ht="15">
      <c r="A36" s="418">
        <v>23</v>
      </c>
      <c r="B36" s="20" t="s">
        <v>642</v>
      </c>
      <c r="C36" s="20" t="str">
        <f ca="1">Q!B46&amp;"/"&amp;LEFT(Q!B47,2)&amp;IF(C5=0,""," "&amp;C5)&amp;" INBC &amp; INAS"</f>
        <v>4000/33 INBC &amp; INAS</v>
      </c>
      <c r="D36" s="20" t="s">
        <v>628</v>
      </c>
      <c r="E36" s="99">
        <v>1</v>
      </c>
      <c r="F36" s="316">
        <v>422.1</v>
      </c>
      <c r="G36" s="152">
        <f t="shared" ref="G36" si="14">E36*F36</f>
        <v>422.1</v>
      </c>
      <c r="H36" s="67">
        <f t="shared" ca="1" si="11"/>
        <v>5.5142064018797541E-3</v>
      </c>
      <c r="I36" s="152">
        <f t="shared" ref="I36" si="15">E36*$C$7</f>
        <v>1</v>
      </c>
      <c r="J36" s="60"/>
      <c r="M36" s="185"/>
    </row>
    <row r="37" spans="1:15" ht="15">
      <c r="A37" s="418">
        <v>24</v>
      </c>
      <c r="B37" s="442" t="s">
        <v>643</v>
      </c>
      <c r="C37" s="443"/>
      <c r="D37" s="20" t="s">
        <v>628</v>
      </c>
      <c r="E37" s="99">
        <v>1</v>
      </c>
      <c r="F37" s="316">
        <v>110</v>
      </c>
      <c r="G37" s="152">
        <f t="shared" ref="G37" si="16">E37*F37</f>
        <v>110</v>
      </c>
      <c r="H37" s="67">
        <f t="shared" ref="H37" ca="1" si="17">G37/G$145</f>
        <v>1.437011855500528E-3</v>
      </c>
      <c r="I37" s="152">
        <f t="shared" ref="I37" si="18">E37*$C$7</f>
        <v>1</v>
      </c>
      <c r="J37" s="60"/>
      <c r="M37" s="185"/>
    </row>
    <row r="38" spans="1:15" ht="15">
      <c r="A38" s="424">
        <v>24</v>
      </c>
      <c r="B38" s="20" t="s">
        <v>1001</v>
      </c>
      <c r="C38" s="20"/>
      <c r="D38" s="20"/>
      <c r="E38" s="99"/>
      <c r="F38" s="316"/>
      <c r="G38" s="152">
        <f t="shared" si="7"/>
        <v>0</v>
      </c>
      <c r="H38" s="67">
        <f ca="1">G38/G$145</f>
        <v>0</v>
      </c>
      <c r="I38" s="152">
        <f t="shared" si="9"/>
        <v>0</v>
      </c>
      <c r="J38" s="60"/>
    </row>
    <row r="39" spans="1:15" ht="12.75" customHeight="1">
      <c r="A39" s="92"/>
      <c r="B39" s="78" t="s">
        <v>355</v>
      </c>
      <c r="C39" s="79"/>
      <c r="D39" s="393" t="s">
        <v>619</v>
      </c>
      <c r="E39" s="206">
        <f ca="1">Q!C195</f>
        <v>3645.4</v>
      </c>
      <c r="F39" s="319">
        <v>3.24</v>
      </c>
      <c r="G39" s="154">
        <f t="shared" ref="G39:G50" ca="1" si="19">E39*F39</f>
        <v>11811.096000000001</v>
      </c>
      <c r="H39" s="232">
        <f t="shared" ref="H39:H48" ca="1" si="20">G39/G$145</f>
        <v>0.15429713616777152</v>
      </c>
      <c r="I39" s="154">
        <f t="shared" ref="I39:I51" ca="1" si="21">E39*C$7</f>
        <v>3645.4</v>
      </c>
      <c r="J39" s="77"/>
      <c r="M39" s="185"/>
    </row>
    <row r="40" spans="1:15" ht="15">
      <c r="A40" s="91">
        <v>21</v>
      </c>
      <c r="B40" s="20" t="str">
        <f ca="1">IF(E40=0,0,Q!B$197)</f>
        <v>27ZH100</v>
      </c>
      <c r="C40" s="20" t="str">
        <f ca="1">IF(E40=0,0,Q!A186&amp;"mm ")</f>
        <v xml:space="preserve">300mm </v>
      </c>
      <c r="D40" s="20" t="s">
        <v>619</v>
      </c>
      <c r="E40" s="99">
        <f ca="1">IF(Q!C186=0,E39,Q!C186)</f>
        <v>704.6</v>
      </c>
      <c r="F40" s="316"/>
      <c r="G40" s="152">
        <f t="shared" ca="1" si="19"/>
        <v>0</v>
      </c>
      <c r="H40" s="67">
        <f t="shared" ca="1" si="20"/>
        <v>0</v>
      </c>
      <c r="I40" s="152">
        <f t="shared" ca="1" si="21"/>
        <v>704.6</v>
      </c>
      <c r="J40" s="60"/>
    </row>
    <row r="41" spans="1:15" ht="15">
      <c r="A41" s="91">
        <v>22</v>
      </c>
      <c r="B41" s="20" t="str">
        <f ca="1">IF(E41=0,0,Q!B$197)</f>
        <v>27ZH100</v>
      </c>
      <c r="C41" s="20" t="str">
        <f ca="1">IF(E41=0,0,Q!A187&amp;"mm ")</f>
        <v xml:space="preserve">290mm </v>
      </c>
      <c r="D41" s="20" t="s">
        <v>619</v>
      </c>
      <c r="E41" s="99">
        <f ca="1">Q!C187</f>
        <v>1039.3</v>
      </c>
      <c r="F41" s="316">
        <v>0</v>
      </c>
      <c r="G41" s="152">
        <f t="shared" ca="1" si="19"/>
        <v>0</v>
      </c>
      <c r="H41" s="67">
        <f t="shared" ca="1" si="20"/>
        <v>0</v>
      </c>
      <c r="I41" s="152">
        <f t="shared" ca="1" si="21"/>
        <v>1039.3</v>
      </c>
      <c r="J41" s="60"/>
      <c r="L41" s="277" t="s">
        <v>644</v>
      </c>
    </row>
    <row r="42" spans="1:15" ht="15">
      <c r="A42" s="91">
        <v>23</v>
      </c>
      <c r="B42" s="20" t="str">
        <f ca="1">IF(E42=0,0,Q!B$197)</f>
        <v>27ZH100</v>
      </c>
      <c r="C42" s="20" t="str">
        <f ca="1">IF(E42=0,0,Q!A188&amp;"mm ")</f>
        <v xml:space="preserve">260mm </v>
      </c>
      <c r="D42" s="20" t="s">
        <v>619</v>
      </c>
      <c r="E42" s="99">
        <f ca="1">Q!C188</f>
        <v>863.1</v>
      </c>
      <c r="F42" s="316">
        <v>0</v>
      </c>
      <c r="G42" s="152">
        <f t="shared" ca="1" si="19"/>
        <v>0</v>
      </c>
      <c r="H42" s="67">
        <f t="shared" ca="1" si="20"/>
        <v>0</v>
      </c>
      <c r="I42" s="152">
        <f t="shared" ca="1" si="21"/>
        <v>863.1</v>
      </c>
      <c r="J42" s="60"/>
      <c r="L42" s="278" t="e">
        <f ca="1">VLOOKUP(M42,'Radiator Choise'!B2:C61,2,FALSE)</f>
        <v>#N/A</v>
      </c>
      <c r="M42" t="str">
        <f ca="1">Q!B46&amp;"/"&amp;LEFT(Q!B47,2)&amp;"/"&amp;Q!B48&amp;" EU "&amp;N42</f>
        <v>4000/33/415 EU CU</v>
      </c>
      <c r="N42" t="str">
        <f ca="1">LEFT(Q!A206,2)</f>
        <v>CU</v>
      </c>
    </row>
    <row r="43" spans="1:15" ht="15">
      <c r="A43" s="91">
        <v>24</v>
      </c>
      <c r="B43" s="20" t="str">
        <f ca="1">IF(E43=0,0,Q!B$197)</f>
        <v>27ZH100</v>
      </c>
      <c r="C43" s="20" t="str">
        <f ca="1">IF(E43=0,0,Q!A189&amp;"mm ")</f>
        <v xml:space="preserve">220mm </v>
      </c>
      <c r="D43" s="20" t="s">
        <v>619</v>
      </c>
      <c r="E43" s="99">
        <f ca="1">Q!C189</f>
        <v>548.9</v>
      </c>
      <c r="F43" s="316">
        <v>0</v>
      </c>
      <c r="G43" s="152">
        <f t="shared" ca="1" si="19"/>
        <v>0</v>
      </c>
      <c r="H43" s="67">
        <f t="shared" ca="1" si="20"/>
        <v>0</v>
      </c>
      <c r="I43" s="152">
        <f t="shared" ca="1" si="21"/>
        <v>548.9</v>
      </c>
      <c r="J43" s="60"/>
    </row>
    <row r="44" spans="1:15" ht="15">
      <c r="A44" s="91">
        <v>25</v>
      </c>
      <c r="B44" s="20" t="str">
        <f ca="1">IF(E44=0,0,Q!B$197)</f>
        <v>27ZH100</v>
      </c>
      <c r="C44" s="20" t="str">
        <f ca="1">IF(E44=0,0,Q!A190&amp;"mm ")</f>
        <v xml:space="preserve">180mm </v>
      </c>
      <c r="D44" s="20" t="s">
        <v>619</v>
      </c>
      <c r="E44" s="99">
        <f ca="1">Q!C190</f>
        <v>296.89999999999998</v>
      </c>
      <c r="F44" s="316">
        <v>0</v>
      </c>
      <c r="G44" s="152">
        <f t="shared" ca="1" si="19"/>
        <v>0</v>
      </c>
      <c r="H44" s="67">
        <f t="shared" ca="1" si="20"/>
        <v>0</v>
      </c>
      <c r="I44" s="152">
        <f t="shared" ca="1" si="21"/>
        <v>296.89999999999998</v>
      </c>
      <c r="J44" s="60"/>
      <c r="L44" t="s">
        <v>645</v>
      </c>
    </row>
    <row r="45" spans="1:15" ht="15">
      <c r="A45" s="91">
        <v>26</v>
      </c>
      <c r="B45" s="20" t="str">
        <f ca="1">IF(E45=0,0,Q!B$197)</f>
        <v>27ZH100</v>
      </c>
      <c r="C45" s="20" t="str">
        <f ca="1">IF(E45=0,0,Q!A191&amp;"mm ")</f>
        <v xml:space="preserve">120mm </v>
      </c>
      <c r="D45" s="20" t="s">
        <v>619</v>
      </c>
      <c r="E45" s="99">
        <f ca="1">Q!C191</f>
        <v>192.8</v>
      </c>
      <c r="F45" s="316">
        <v>0</v>
      </c>
      <c r="G45" s="152">
        <f t="shared" ca="1" si="19"/>
        <v>0</v>
      </c>
      <c r="H45" s="67">
        <f t="shared" ca="1" si="20"/>
        <v>0</v>
      </c>
      <c r="I45" s="152">
        <f t="shared" ca="1" si="21"/>
        <v>192.8</v>
      </c>
      <c r="J45" s="60"/>
      <c r="L45" s="278"/>
    </row>
    <row r="46" spans="1:15" ht="15">
      <c r="A46" s="91">
        <v>27</v>
      </c>
      <c r="B46" s="20">
        <f ca="1">IF(E46=0,0,Q!B$197)</f>
        <v>0</v>
      </c>
      <c r="C46" s="20">
        <f ca="1">IF(E46=0,0,Q!A192&amp;"mm ")</f>
        <v>0</v>
      </c>
      <c r="D46" s="20" t="s">
        <v>619</v>
      </c>
      <c r="E46" s="99">
        <f ca="1">Q!C192</f>
        <v>0</v>
      </c>
      <c r="F46" s="316">
        <v>0</v>
      </c>
      <c r="G46" s="152">
        <f t="shared" ca="1" si="19"/>
        <v>0</v>
      </c>
      <c r="H46" s="67">
        <f t="shared" ca="1" si="20"/>
        <v>0</v>
      </c>
      <c r="I46" s="152">
        <f t="shared" ca="1" si="21"/>
        <v>0</v>
      </c>
      <c r="J46" s="60"/>
    </row>
    <row r="47" spans="1:15" ht="15">
      <c r="A47" s="91">
        <v>28</v>
      </c>
      <c r="B47" s="20">
        <f ca="1">IF(E47=0,0,Q!B$197)</f>
        <v>0</v>
      </c>
      <c r="C47" s="20">
        <f ca="1">IF(E47=0,0,Q!A193&amp;"mm ")</f>
        <v>0</v>
      </c>
      <c r="D47" s="20" t="s">
        <v>619</v>
      </c>
      <c r="E47" s="99">
        <f ca="1">Q!C193</f>
        <v>0</v>
      </c>
      <c r="F47" s="316">
        <v>0</v>
      </c>
      <c r="G47" s="152">
        <f t="shared" ca="1" si="19"/>
        <v>0</v>
      </c>
      <c r="H47" s="67">
        <f t="shared" ca="1" si="20"/>
        <v>0</v>
      </c>
      <c r="I47" s="152">
        <f t="shared" ca="1" si="21"/>
        <v>0</v>
      </c>
      <c r="J47" s="60"/>
    </row>
    <row r="48" spans="1:15" ht="15">
      <c r="A48" s="91">
        <v>29</v>
      </c>
      <c r="B48" s="20">
        <f ca="1">IF(E48=0,0,Q!B$197)</f>
        <v>0</v>
      </c>
      <c r="C48" s="20">
        <f ca="1">IF(E48=0,0,Q!A194&amp;"mm ")</f>
        <v>0</v>
      </c>
      <c r="D48" s="20" t="s">
        <v>619</v>
      </c>
      <c r="E48" s="99">
        <f ca="1">Q!C194</f>
        <v>0</v>
      </c>
      <c r="F48" s="316">
        <v>0</v>
      </c>
      <c r="G48" s="152">
        <f ca="1">E48*F48</f>
        <v>0</v>
      </c>
      <c r="H48" s="67">
        <f t="shared" ca="1" si="20"/>
        <v>0</v>
      </c>
      <c r="I48" s="152">
        <f t="shared" ca="1" si="21"/>
        <v>0</v>
      </c>
      <c r="J48" s="60"/>
    </row>
    <row r="49" spans="1:13" ht="15">
      <c r="A49" s="225"/>
      <c r="B49" s="78" t="s">
        <v>381</v>
      </c>
      <c r="C49" s="228"/>
      <c r="D49" s="221"/>
      <c r="E49" s="75" t="s">
        <v>621</v>
      </c>
      <c r="F49" s="320"/>
      <c r="G49" s="222"/>
      <c r="H49" s="223"/>
      <c r="I49" s="222"/>
      <c r="J49" s="224"/>
      <c r="L49" s="1" t="s">
        <v>646</v>
      </c>
    </row>
    <row r="50" spans="1:13" ht="12.75" customHeight="1">
      <c r="A50" s="394">
        <v>30</v>
      </c>
      <c r="B50" s="438" t="s">
        <v>647</v>
      </c>
      <c r="C50" s="439"/>
      <c r="D50" s="276" t="s">
        <v>619</v>
      </c>
      <c r="E50" s="242">
        <f ca="1">Q!B228</f>
        <v>631</v>
      </c>
      <c r="F50" s="321">
        <v>2.64</v>
      </c>
      <c r="G50" s="243">
        <f t="shared" ca="1" si="19"/>
        <v>1665.8400000000001</v>
      </c>
      <c r="H50" s="244">
        <f ca="1">G50/G$145</f>
        <v>2.1762107539699999E-2</v>
      </c>
      <c r="I50" s="243">
        <f t="shared" ca="1" si="21"/>
        <v>631</v>
      </c>
      <c r="J50" s="395"/>
      <c r="L50" s="276" t="s">
        <v>648</v>
      </c>
      <c r="M50" s="245"/>
    </row>
    <row r="51" spans="1:13" ht="12.75" customHeight="1">
      <c r="A51" s="419">
        <v>31</v>
      </c>
      <c r="B51" s="20" t="str">
        <f ca="1">IF(Q!B233&gt;0,Q!A233,IF(Q!B234&gt;0,Q!A234,""))</f>
        <v>Panel Type Radiators</v>
      </c>
      <c r="C51" s="20" t="str">
        <f ca="1">IF(Q!E37="Rads",Q!B282&amp;"mm, "&amp;Q!B281&amp;" element/rad, "&amp;Q!B280&amp;"rads",IF(L45="",IF(ISERROR(L42),Q!B46&amp;"/"&amp;LEFT(Q!B47,2)&amp;"/"&amp;Q!B48&amp;" Tank",L42),L45))</f>
        <v>1300mm, 14 element/rad, 6rads</v>
      </c>
      <c r="D51" s="20" t="s">
        <v>619</v>
      </c>
      <c r="E51" s="71">
        <f ca="1">(Q!B236+Q!B231+20-Q!B228)*1.1+50</f>
        <v>3638.2000000000003</v>
      </c>
      <c r="F51" s="316">
        <v>3.48</v>
      </c>
      <c r="G51" s="230">
        <f ca="1">E51*F51</f>
        <v>12660.936000000002</v>
      </c>
      <c r="H51" s="67">
        <f ca="1">G51/G$145</f>
        <v>0.16539922848848579</v>
      </c>
      <c r="I51" s="229">
        <f t="shared" ca="1" si="21"/>
        <v>3638.2000000000003</v>
      </c>
      <c r="J51" s="60"/>
      <c r="L51" s="276" t="s">
        <v>649</v>
      </c>
      <c r="M51" s="245"/>
    </row>
    <row r="52" spans="1:13" ht="12.75" customHeight="1">
      <c r="A52" s="394">
        <v>32</v>
      </c>
      <c r="B52" s="430" t="s">
        <v>650</v>
      </c>
      <c r="C52" s="431"/>
      <c r="D52" s="20" t="s">
        <v>628</v>
      </c>
      <c r="E52" s="99"/>
      <c r="F52" s="316">
        <v>15</v>
      </c>
      <c r="G52" s="230">
        <f>E52*F52</f>
        <v>0</v>
      </c>
      <c r="H52" s="67">
        <f ca="1">G52/G$145</f>
        <v>0</v>
      </c>
      <c r="I52" s="229">
        <f t="shared" ref="I52" si="22">E52*C$7</f>
        <v>0</v>
      </c>
      <c r="J52" s="60"/>
      <c r="L52" s="276"/>
      <c r="M52" s="245"/>
    </row>
    <row r="53" spans="1:13" ht="12.75" customHeight="1">
      <c r="A53" s="231">
        <v>33</v>
      </c>
      <c r="B53" s="20"/>
      <c r="C53" s="20"/>
      <c r="D53" s="20"/>
      <c r="E53" s="71"/>
      <c r="F53" s="316"/>
      <c r="G53" s="99"/>
      <c r="H53" s="67"/>
      <c r="I53" s="71"/>
      <c r="J53" s="60"/>
      <c r="L53" s="276" t="s">
        <v>651</v>
      </c>
      <c r="M53" s="245"/>
    </row>
    <row r="54" spans="1:13" ht="12.75" customHeight="1">
      <c r="A54" s="92"/>
      <c r="B54" s="78" t="str">
        <f>Q!A310</f>
        <v>ACCESSORIES</v>
      </c>
      <c r="C54" s="79"/>
      <c r="D54" s="393"/>
      <c r="E54" s="75" t="s">
        <v>621</v>
      </c>
      <c r="F54" s="322"/>
      <c r="G54" s="101"/>
      <c r="H54" s="76"/>
      <c r="I54" s="74"/>
      <c r="J54" s="77"/>
    </row>
    <row r="55" spans="1:13" ht="15">
      <c r="A55" s="94"/>
      <c r="B55" s="23" t="str">
        <f>Q!A311</f>
        <v>HV Bushings</v>
      </c>
      <c r="C55" s="24"/>
      <c r="D55" s="22"/>
      <c r="E55" s="30"/>
      <c r="F55" s="318"/>
      <c r="G55" s="102"/>
      <c r="H55" s="69"/>
      <c r="I55" s="73"/>
      <c r="J55" s="61"/>
    </row>
    <row r="56" spans="1:13" ht="13.9" customHeight="1">
      <c r="A56" s="417">
        <v>33</v>
      </c>
      <c r="B56" s="440" t="str">
        <f>L56</f>
        <v>Plug-in Type 36 kV 630 A Interface C</v>
      </c>
      <c r="C56" s="441"/>
      <c r="D56" s="20" t="s">
        <v>628</v>
      </c>
      <c r="E56" s="71">
        <v>3</v>
      </c>
      <c r="F56" s="316">
        <v>110.22</v>
      </c>
      <c r="G56" s="99">
        <f t="shared" ref="G56:G102" si="23">IF(ISERROR(F56),0,F56*E56)</f>
        <v>330.65999999999997</v>
      </c>
      <c r="H56" s="67">
        <f t="shared" ref="H56:H70" ca="1" si="24">G56/G$145</f>
        <v>4.3196576376345868E-3</v>
      </c>
      <c r="I56" s="71">
        <f>E56*C$7</f>
        <v>3</v>
      </c>
      <c r="J56" s="60"/>
      <c r="L56" s="423" t="s">
        <v>472</v>
      </c>
      <c r="M56" s="245"/>
    </row>
    <row r="57" spans="1:13" ht="15">
      <c r="A57" s="91">
        <v>34</v>
      </c>
      <c r="B57" s="430" t="s">
        <v>652</v>
      </c>
      <c r="C57" s="431"/>
      <c r="D57" s="20" t="s">
        <v>628</v>
      </c>
      <c r="E57" s="71"/>
      <c r="F57" s="316">
        <v>2.5499999999999998</v>
      </c>
      <c r="G57" s="99">
        <f>E57*F57</f>
        <v>0</v>
      </c>
      <c r="H57" s="67">
        <f t="shared" ca="1" si="24"/>
        <v>0</v>
      </c>
      <c r="I57" s="71">
        <f t="shared" ref="I57:I102" si="25">E57*C$7</f>
        <v>0</v>
      </c>
      <c r="J57" s="60"/>
    </row>
    <row r="58" spans="1:13" ht="15">
      <c r="A58" s="94"/>
      <c r="B58" s="23" t="str">
        <f>Q!A330</f>
        <v>LV Bushings</v>
      </c>
      <c r="C58" s="24"/>
      <c r="D58" s="22"/>
      <c r="E58" s="30"/>
      <c r="F58" s="318"/>
      <c r="G58" s="102">
        <f t="shared" si="23"/>
        <v>0</v>
      </c>
      <c r="H58" s="69">
        <f t="shared" ca="1" si="24"/>
        <v>0</v>
      </c>
      <c r="I58" s="73"/>
      <c r="J58" s="61"/>
    </row>
    <row r="59" spans="1:13" ht="15">
      <c r="A59" s="91">
        <v>35</v>
      </c>
      <c r="B59" s="430" t="str">
        <f>L59</f>
        <v>EN 3150</v>
      </c>
      <c r="C59" s="431"/>
      <c r="D59" s="20" t="s">
        <v>628</v>
      </c>
      <c r="E59" s="71">
        <v>8</v>
      </c>
      <c r="F59" s="316">
        <v>300.70999999999998</v>
      </c>
      <c r="G59" s="99">
        <f t="shared" si="23"/>
        <v>2405.6799999999998</v>
      </c>
      <c r="H59" s="67">
        <f t="shared" ca="1" si="24"/>
        <v>3.1427188004913731E-2</v>
      </c>
      <c r="I59" s="71">
        <f t="shared" si="25"/>
        <v>8</v>
      </c>
      <c r="J59" s="60"/>
      <c r="L59" s="245" t="s">
        <v>481</v>
      </c>
      <c r="M59" s="245"/>
    </row>
    <row r="60" spans="1:13" ht="15">
      <c r="A60" s="91">
        <v>36</v>
      </c>
      <c r="B60" s="430" t="s">
        <v>653</v>
      </c>
      <c r="C60" s="431"/>
      <c r="D60" s="20" t="s">
        <v>628</v>
      </c>
      <c r="E60" s="71"/>
      <c r="F60" s="316">
        <v>2.88</v>
      </c>
      <c r="G60" s="99">
        <f>E60*F60</f>
        <v>0</v>
      </c>
      <c r="H60" s="67">
        <f t="shared" ca="1" si="24"/>
        <v>0</v>
      </c>
      <c r="I60" s="71">
        <f t="shared" si="25"/>
        <v>0</v>
      </c>
      <c r="J60" s="60"/>
    </row>
    <row r="61" spans="1:13" ht="15">
      <c r="A61" s="94"/>
      <c r="B61" s="23" t="str">
        <f>Q!A348</f>
        <v>Tap selector</v>
      </c>
      <c r="C61" s="24"/>
      <c r="D61" s="22"/>
      <c r="E61" s="30"/>
      <c r="F61" s="318"/>
      <c r="G61" s="102">
        <f t="shared" si="23"/>
        <v>0</v>
      </c>
      <c r="H61" s="69">
        <f t="shared" ca="1" si="24"/>
        <v>0</v>
      </c>
      <c r="I61" s="73"/>
      <c r="J61" s="61"/>
    </row>
    <row r="62" spans="1:13" ht="15" customHeight="1">
      <c r="A62" s="417">
        <v>37</v>
      </c>
      <c r="B62" s="430" t="str">
        <f>IF(L62=0,Q!B348,L62)</f>
        <v>HM 25.44.885 (30kV 63A 131mm 5 Pos)</v>
      </c>
      <c r="C62" s="431"/>
      <c r="D62" s="20" t="s">
        <v>628</v>
      </c>
      <c r="E62" s="71">
        <f>IF(ISERROR(B62),0,1)</f>
        <v>1</v>
      </c>
      <c r="F62" s="316">
        <v>232.43</v>
      </c>
      <c r="G62" s="99">
        <f>E62*F62</f>
        <v>232.43</v>
      </c>
      <c r="H62" s="67">
        <f t="shared" ca="1" si="24"/>
        <v>3.036406050672616E-3</v>
      </c>
      <c r="I62" s="71">
        <f t="shared" si="25"/>
        <v>1</v>
      </c>
      <c r="J62" s="60"/>
      <c r="L62" s="296" t="s">
        <v>494</v>
      </c>
      <c r="M62" s="297"/>
    </row>
    <row r="63" spans="1:13" ht="15" customHeight="1">
      <c r="A63" s="91">
        <v>38</v>
      </c>
      <c r="B63" s="430"/>
      <c r="C63" s="431"/>
      <c r="D63" s="20"/>
      <c r="E63" s="72"/>
      <c r="F63" s="317"/>
      <c r="G63" s="100"/>
      <c r="H63" s="68"/>
      <c r="I63" s="71"/>
      <c r="J63" s="60"/>
      <c r="L63" s="298"/>
      <c r="M63" s="298"/>
    </row>
    <row r="64" spans="1:13" ht="15">
      <c r="A64" s="94"/>
      <c r="B64" s="23" t="str">
        <f>Q!A363</f>
        <v>Valves</v>
      </c>
      <c r="C64" s="24"/>
      <c r="D64" s="22"/>
      <c r="E64" s="30"/>
      <c r="F64" s="318"/>
      <c r="G64" s="102">
        <f t="shared" si="23"/>
        <v>0</v>
      </c>
      <c r="H64" s="69">
        <f t="shared" ca="1" si="24"/>
        <v>0</v>
      </c>
      <c r="I64" s="73"/>
      <c r="J64" s="61"/>
    </row>
    <row r="65" spans="1:10" ht="15">
      <c r="A65" s="91">
        <v>39</v>
      </c>
      <c r="B65" s="430" t="str">
        <f>Q!A364</f>
        <v>PRV T-10K1 1R"</v>
      </c>
      <c r="C65" s="431"/>
      <c r="D65" s="20" t="s">
        <v>628</v>
      </c>
      <c r="E65" s="71"/>
      <c r="F65" s="316">
        <v>9.19</v>
      </c>
      <c r="G65" s="421">
        <f>E65*F65</f>
        <v>0</v>
      </c>
      <c r="H65" s="67">
        <f t="shared" ca="1" si="24"/>
        <v>0</v>
      </c>
      <c r="I65" s="71">
        <f t="shared" si="25"/>
        <v>0</v>
      </c>
      <c r="J65" s="60"/>
    </row>
    <row r="66" spans="1:10" ht="15">
      <c r="A66" s="91">
        <v>40</v>
      </c>
      <c r="B66" s="430" t="str">
        <f>Q!A365</f>
        <v>PRV T-50 0.4 BAR</v>
      </c>
      <c r="C66" s="431"/>
      <c r="D66" s="20" t="s">
        <v>628</v>
      </c>
      <c r="E66" s="71">
        <v>1</v>
      </c>
      <c r="F66" s="316">
        <v>117.88</v>
      </c>
      <c r="G66" s="421">
        <f t="shared" ref="G66:G74" si="26">E66*F66</f>
        <v>117.88</v>
      </c>
      <c r="H66" s="67">
        <f t="shared" ca="1" si="24"/>
        <v>1.5399541593309296E-3</v>
      </c>
      <c r="I66" s="71">
        <f>E66*C$7</f>
        <v>1</v>
      </c>
      <c r="J66" s="60"/>
    </row>
    <row r="67" spans="1:10" ht="15">
      <c r="A67" s="91">
        <v>41</v>
      </c>
      <c r="B67" s="430" t="s">
        <v>984</v>
      </c>
      <c r="C67" s="431"/>
      <c r="D67" s="20" t="s">
        <v>628</v>
      </c>
      <c r="E67" s="71"/>
      <c r="F67" s="316">
        <v>14.15</v>
      </c>
      <c r="G67" s="421">
        <f t="shared" si="26"/>
        <v>0</v>
      </c>
      <c r="H67" s="67">
        <f t="shared" ca="1" si="24"/>
        <v>0</v>
      </c>
      <c r="I67" s="71">
        <f>E67*C$7</f>
        <v>0</v>
      </c>
      <c r="J67" s="60"/>
    </row>
    <row r="68" spans="1:10" ht="15">
      <c r="A68" s="91">
        <v>42</v>
      </c>
      <c r="B68" s="430" t="str">
        <f>Q!A367</f>
        <v>AIR RELEASE PLUG</v>
      </c>
      <c r="C68" s="431"/>
      <c r="D68" s="20" t="s">
        <v>628</v>
      </c>
      <c r="E68" s="71">
        <v>0</v>
      </c>
      <c r="F68" s="316">
        <v>3.3</v>
      </c>
      <c r="G68" s="421">
        <f t="shared" si="26"/>
        <v>0</v>
      </c>
      <c r="H68" s="67">
        <f t="shared" ca="1" si="24"/>
        <v>0</v>
      </c>
      <c r="I68" s="71">
        <f>E68*C$7</f>
        <v>0</v>
      </c>
      <c r="J68" s="60"/>
    </row>
    <row r="69" spans="1:10" ht="13.9" customHeight="1">
      <c r="A69" s="91">
        <v>43</v>
      </c>
      <c r="B69" s="430" t="str">
        <f>Q!A368</f>
        <v>ARES DIN25 DOUBLE FLANGE GATE VALVE</v>
      </c>
      <c r="C69" s="431"/>
      <c r="D69" s="20" t="s">
        <v>628</v>
      </c>
      <c r="E69" s="71"/>
      <c r="F69" s="316">
        <v>93.524951519999988</v>
      </c>
      <c r="G69" s="421">
        <f t="shared" si="26"/>
        <v>0</v>
      </c>
      <c r="H69" s="67">
        <f t="shared" ca="1" si="24"/>
        <v>0</v>
      </c>
      <c r="I69" s="71">
        <f t="shared" si="25"/>
        <v>0</v>
      </c>
      <c r="J69" s="60"/>
    </row>
    <row r="70" spans="1:10" ht="15" customHeight="1">
      <c r="A70" s="91">
        <v>44</v>
      </c>
      <c r="B70" s="430" t="str">
        <f>Q!A369</f>
        <v>SINGLE FLANGE BALL VALVE 1" NW25S-SS</v>
      </c>
      <c r="C70" s="431"/>
      <c r="D70" s="20" t="s">
        <v>628</v>
      </c>
      <c r="E70" s="71"/>
      <c r="F70" s="316"/>
      <c r="G70" s="421">
        <f t="shared" si="26"/>
        <v>0</v>
      </c>
      <c r="H70" s="67">
        <f t="shared" ca="1" si="24"/>
        <v>0</v>
      </c>
      <c r="I70" s="71">
        <f t="shared" si="25"/>
        <v>0</v>
      </c>
      <c r="J70" s="60"/>
    </row>
    <row r="71" spans="1:10" ht="13.9" customHeight="1">
      <c r="A71" s="91">
        <v>45</v>
      </c>
      <c r="B71" s="430" t="str">
        <f>Q!A370</f>
        <v>THROTTLE VALVE FOR RADIATOR NW80 FORMB</v>
      </c>
      <c r="C71" s="431"/>
      <c r="D71" s="20" t="s">
        <v>628</v>
      </c>
      <c r="E71" s="71">
        <v>12</v>
      </c>
      <c r="F71" s="316">
        <v>80.38</v>
      </c>
      <c r="G71" s="421">
        <f t="shared" si="26"/>
        <v>964.56</v>
      </c>
      <c r="H71" s="67">
        <f t="shared" ref="H71:H77" ca="1" si="27">G71/G$145</f>
        <v>1.2600765048559903E-2</v>
      </c>
      <c r="I71" s="71">
        <f t="shared" ref="I71:I77" si="28">E71*C$7</f>
        <v>12</v>
      </c>
      <c r="J71" s="60"/>
    </row>
    <row r="72" spans="1:10" ht="15" customHeight="1">
      <c r="A72" s="91">
        <v>46</v>
      </c>
      <c r="B72" s="430" t="str">
        <f>Q!A371</f>
        <v>BALL VALVE 1" PELGER</v>
      </c>
      <c r="C72" s="431"/>
      <c r="D72" s="20" t="s">
        <v>628</v>
      </c>
      <c r="E72" s="71">
        <v>1</v>
      </c>
      <c r="F72" s="316">
        <v>9.19</v>
      </c>
      <c r="G72" s="421">
        <f t="shared" si="26"/>
        <v>9.19</v>
      </c>
      <c r="H72" s="67">
        <f t="shared" ca="1" si="27"/>
        <v>1.2005580865499866E-4</v>
      </c>
      <c r="I72" s="71">
        <f t="shared" si="28"/>
        <v>1</v>
      </c>
      <c r="J72" s="60"/>
    </row>
    <row r="73" spans="1:10" ht="13.9" customHeight="1">
      <c r="A73" s="91">
        <v>47</v>
      </c>
      <c r="B73" s="430" t="str">
        <f>Q!A372</f>
        <v>GATE VALVE WITH SAMPLING</v>
      </c>
      <c r="C73" s="431"/>
      <c r="D73" s="20" t="s">
        <v>628</v>
      </c>
      <c r="E73" s="71">
        <v>2</v>
      </c>
      <c r="F73" s="316">
        <v>81.34</v>
      </c>
      <c r="G73" s="421">
        <f t="shared" si="26"/>
        <v>162.68</v>
      </c>
      <c r="H73" s="67">
        <f t="shared" ca="1" si="27"/>
        <v>2.125209896843872E-3</v>
      </c>
      <c r="I73" s="71">
        <f t="shared" si="28"/>
        <v>2</v>
      </c>
      <c r="J73" s="60"/>
    </row>
    <row r="74" spans="1:10" ht="13.9" customHeight="1">
      <c r="A74" s="91">
        <v>48</v>
      </c>
      <c r="B74" s="430" t="str">
        <f>Q!A373</f>
        <v>GATE VALVE WITHOUT SAMPLING</v>
      </c>
      <c r="C74" s="431"/>
      <c r="D74" s="20" t="s">
        <v>628</v>
      </c>
      <c r="E74" s="71">
        <f>Q!D374</f>
        <v>0</v>
      </c>
      <c r="F74" s="316"/>
      <c r="G74" s="421">
        <f t="shared" si="26"/>
        <v>0</v>
      </c>
      <c r="H74" s="67">
        <f t="shared" ca="1" si="27"/>
        <v>0</v>
      </c>
      <c r="I74" s="71">
        <f t="shared" si="28"/>
        <v>0</v>
      </c>
      <c r="J74" s="60"/>
    </row>
    <row r="75" spans="1:10" ht="13.9" customHeight="1">
      <c r="A75" s="91">
        <v>49</v>
      </c>
      <c r="B75" s="430" t="str">
        <f>Q!A374</f>
        <v>SAMPLING VALVE</v>
      </c>
      <c r="C75" s="431"/>
      <c r="D75" s="20" t="s">
        <v>628</v>
      </c>
      <c r="E75" s="72"/>
      <c r="F75" s="317"/>
      <c r="G75" s="99">
        <f t="shared" ref="G75:G77" si="29">IF(ISERROR(F75),0,F75*E75)</f>
        <v>0</v>
      </c>
      <c r="H75" s="67">
        <f t="shared" ca="1" si="27"/>
        <v>0</v>
      </c>
      <c r="I75" s="71">
        <f t="shared" si="28"/>
        <v>0</v>
      </c>
      <c r="J75" s="60"/>
    </row>
    <row r="76" spans="1:10" ht="13.9" customHeight="1">
      <c r="A76" s="91">
        <v>50</v>
      </c>
      <c r="B76" s="430" t="str">
        <f>Q!A375</f>
        <v>BALL VALVE 1" Threaded on both sides</v>
      </c>
      <c r="C76" s="431"/>
      <c r="D76" s="20" t="s">
        <v>628</v>
      </c>
      <c r="E76" s="72">
        <v>0</v>
      </c>
      <c r="F76" s="317">
        <v>9.33</v>
      </c>
      <c r="G76" s="99">
        <f t="shared" si="29"/>
        <v>0</v>
      </c>
      <c r="H76" s="67">
        <f t="shared" ca="1" si="27"/>
        <v>0</v>
      </c>
      <c r="I76" s="71">
        <f t="shared" si="28"/>
        <v>0</v>
      </c>
      <c r="J76" s="60"/>
    </row>
    <row r="77" spans="1:10" ht="13.9" customHeight="1">
      <c r="A77" s="91">
        <v>51</v>
      </c>
      <c r="B77" s="444"/>
      <c r="C77" s="445"/>
      <c r="D77" s="20"/>
      <c r="E77" s="72"/>
      <c r="F77" s="317"/>
      <c r="G77" s="99">
        <f t="shared" si="29"/>
        <v>0</v>
      </c>
      <c r="H77" s="67">
        <f t="shared" ca="1" si="27"/>
        <v>0</v>
      </c>
      <c r="I77" s="71">
        <f t="shared" si="28"/>
        <v>0</v>
      </c>
      <c r="J77" s="60"/>
    </row>
    <row r="78" spans="1:10" ht="15">
      <c r="A78" s="94"/>
      <c r="B78" s="23" t="str">
        <f>Q!A376</f>
        <v>Oil Level Indicators</v>
      </c>
      <c r="C78" s="24"/>
      <c r="D78" s="22"/>
      <c r="E78" s="30"/>
      <c r="F78" s="318"/>
      <c r="G78" s="102">
        <f t="shared" si="23"/>
        <v>0</v>
      </c>
      <c r="H78" s="69">
        <f t="shared" ref="H78:H87" ca="1" si="30">G78/G$145</f>
        <v>0</v>
      </c>
      <c r="I78" s="73"/>
      <c r="J78" s="61"/>
    </row>
    <row r="79" spans="1:10" ht="15">
      <c r="A79" s="91">
        <v>52</v>
      </c>
      <c r="B79" s="430" t="str">
        <f>Q!A377</f>
        <v>Magnetic- with 400mm boss</v>
      </c>
      <c r="C79" s="431"/>
      <c r="D79" s="20" t="s">
        <v>628</v>
      </c>
      <c r="E79" s="71">
        <f>Q!D377</f>
        <v>0</v>
      </c>
      <c r="F79" s="316"/>
      <c r="G79" s="99">
        <f t="shared" si="23"/>
        <v>0</v>
      </c>
      <c r="H79" s="67">
        <f t="shared" ca="1" si="30"/>
        <v>0</v>
      </c>
      <c r="I79" s="71">
        <f t="shared" si="25"/>
        <v>0</v>
      </c>
      <c r="J79" s="60"/>
    </row>
    <row r="80" spans="1:10" ht="13.9" customHeight="1">
      <c r="A80" s="91">
        <v>53</v>
      </c>
      <c r="B80" s="430" t="str">
        <f>Q!A378</f>
        <v>Magnetic- with 200mm boss</v>
      </c>
      <c r="C80" s="431"/>
      <c r="D80" s="20" t="s">
        <v>628</v>
      </c>
      <c r="E80" s="71">
        <v>0</v>
      </c>
      <c r="F80" s="316">
        <v>23.58</v>
      </c>
      <c r="G80" s="99">
        <f t="shared" si="23"/>
        <v>0</v>
      </c>
      <c r="H80" s="67">
        <f t="shared" ca="1" si="30"/>
        <v>0</v>
      </c>
      <c r="I80" s="71">
        <f t="shared" si="25"/>
        <v>0</v>
      </c>
      <c r="J80" s="60"/>
    </row>
    <row r="81" spans="1:10" ht="15">
      <c r="A81" s="91">
        <v>54</v>
      </c>
      <c r="B81" s="430" t="str">
        <f>Q!A379</f>
        <v>4 HOLES PRISMATIC</v>
      </c>
      <c r="C81" s="431"/>
      <c r="D81" s="20" t="s">
        <v>628</v>
      </c>
      <c r="E81" s="71">
        <v>0</v>
      </c>
      <c r="F81" s="316">
        <v>10.220097887999998</v>
      </c>
      <c r="G81" s="99">
        <f t="shared" ref="G81:G87" si="31">IF(ISERROR(F81),0,F81*E81)</f>
        <v>0</v>
      </c>
      <c r="H81" s="67">
        <f t="shared" ca="1" si="30"/>
        <v>0</v>
      </c>
      <c r="I81" s="71">
        <f t="shared" si="25"/>
        <v>0</v>
      </c>
      <c r="J81" s="60"/>
    </row>
    <row r="82" spans="1:10" ht="15">
      <c r="A82" s="91">
        <v>55</v>
      </c>
      <c r="B82" s="430" t="str">
        <f>Q!A380</f>
        <v>6 HOLES PRISMATIC</v>
      </c>
      <c r="C82" s="431"/>
      <c r="D82" s="20" t="s">
        <v>628</v>
      </c>
      <c r="E82" s="71"/>
      <c r="F82" s="316">
        <v>12.73</v>
      </c>
      <c r="G82" s="99">
        <f t="shared" si="31"/>
        <v>0</v>
      </c>
      <c r="H82" s="67">
        <f t="shared" ca="1" si="30"/>
        <v>0</v>
      </c>
      <c r="I82" s="71">
        <f t="shared" si="25"/>
        <v>0</v>
      </c>
      <c r="J82" s="60"/>
    </row>
    <row r="83" spans="1:10" ht="15">
      <c r="A83" s="91">
        <v>56</v>
      </c>
      <c r="B83" s="430" t="str">
        <f>Q!A381</f>
        <v>8 HOLES PRISMATIC</v>
      </c>
      <c r="C83" s="431"/>
      <c r="D83" s="20" t="s">
        <v>628</v>
      </c>
      <c r="E83" s="71"/>
      <c r="F83" s="316">
        <v>15.267059807999999</v>
      </c>
      <c r="G83" s="99">
        <f t="shared" si="31"/>
        <v>0</v>
      </c>
      <c r="H83" s="67">
        <f t="shared" ca="1" si="30"/>
        <v>0</v>
      </c>
      <c r="I83" s="71">
        <f t="shared" si="25"/>
        <v>0</v>
      </c>
      <c r="J83" s="60"/>
    </row>
    <row r="84" spans="1:10" ht="15">
      <c r="A84" s="417">
        <v>57</v>
      </c>
      <c r="B84" s="430" t="str">
        <f>Q!A382</f>
        <v>FLOATING TYPE</v>
      </c>
      <c r="C84" s="431"/>
      <c r="D84" s="20" t="s">
        <v>628</v>
      </c>
      <c r="E84" s="71"/>
      <c r="F84" s="316">
        <v>15.58</v>
      </c>
      <c r="G84" s="99">
        <f t="shared" si="31"/>
        <v>0</v>
      </c>
      <c r="H84" s="67">
        <f t="shared" ca="1" si="30"/>
        <v>0</v>
      </c>
      <c r="I84" s="71">
        <f t="shared" si="25"/>
        <v>0</v>
      </c>
      <c r="J84" s="60"/>
    </row>
    <row r="85" spans="1:10" ht="15">
      <c r="A85" s="91">
        <v>58</v>
      </c>
      <c r="B85" s="430" t="str">
        <f>Q!A383</f>
        <v>VIAT SO4 - Dial Type with Contacts</v>
      </c>
      <c r="C85" s="431"/>
      <c r="D85" s="20" t="s">
        <v>628</v>
      </c>
      <c r="E85" s="71">
        <v>0</v>
      </c>
      <c r="F85" s="316">
        <v>104.09358959999999</v>
      </c>
      <c r="G85" s="99">
        <f t="shared" si="31"/>
        <v>0</v>
      </c>
      <c r="H85" s="67">
        <f t="shared" ca="1" si="30"/>
        <v>0</v>
      </c>
      <c r="I85" s="71"/>
      <c r="J85" s="60"/>
    </row>
    <row r="86" spans="1:10" ht="15">
      <c r="A86" s="91">
        <v>59</v>
      </c>
      <c r="B86" s="430" t="str">
        <f>Q!A384</f>
        <v>VIAT SO6 - Dial Type with Contacts</v>
      </c>
      <c r="C86" s="431"/>
      <c r="D86" s="20" t="s">
        <v>628</v>
      </c>
      <c r="E86" s="71">
        <v>1</v>
      </c>
      <c r="F86" s="316">
        <v>147.35</v>
      </c>
      <c r="G86" s="99">
        <f t="shared" si="31"/>
        <v>147.35</v>
      </c>
      <c r="H86" s="67">
        <f t="shared" ca="1" si="30"/>
        <v>1.9249426991636619E-3</v>
      </c>
      <c r="I86" s="71"/>
      <c r="J86" s="60"/>
    </row>
    <row r="87" spans="1:10" ht="15">
      <c r="A87" s="91">
        <v>60</v>
      </c>
      <c r="B87" s="430"/>
      <c r="C87" s="431"/>
      <c r="D87" s="20"/>
      <c r="E87" s="71"/>
      <c r="F87" s="316"/>
      <c r="G87" s="99">
        <f t="shared" si="31"/>
        <v>0</v>
      </c>
      <c r="H87" s="67">
        <f t="shared" ca="1" si="30"/>
        <v>0</v>
      </c>
      <c r="I87" s="71"/>
      <c r="J87" s="60"/>
    </row>
    <row r="88" spans="1:10" ht="15">
      <c r="A88" s="94"/>
      <c r="B88" s="23" t="str">
        <f>Q!A386</f>
        <v>Cable Boxes</v>
      </c>
      <c r="C88" s="24"/>
      <c r="D88" s="22"/>
      <c r="E88" s="30"/>
      <c r="F88" s="318"/>
      <c r="G88" s="102">
        <f t="shared" si="23"/>
        <v>0</v>
      </c>
      <c r="H88" s="69">
        <f ca="1">G88/G$145</f>
        <v>0</v>
      </c>
      <c r="I88" s="73"/>
      <c r="J88" s="61"/>
    </row>
    <row r="89" spans="1:10" ht="15">
      <c r="A89" s="91">
        <v>61</v>
      </c>
      <c r="B89" s="430" t="str">
        <f>Q!A387</f>
        <v>HV CABLE BOX</v>
      </c>
      <c r="C89" s="431"/>
      <c r="D89" s="20" t="s">
        <v>628</v>
      </c>
      <c r="E89" s="71">
        <v>0</v>
      </c>
      <c r="F89" s="316">
        <v>450</v>
      </c>
      <c r="G89" s="99">
        <f>E89*F89</f>
        <v>0</v>
      </c>
      <c r="H89" s="67">
        <f ca="1">G89/G$145</f>
        <v>0</v>
      </c>
      <c r="I89" s="71">
        <f>E89*C$7</f>
        <v>0</v>
      </c>
      <c r="J89" s="60"/>
    </row>
    <row r="90" spans="1:10" ht="15">
      <c r="A90" s="91">
        <v>62</v>
      </c>
      <c r="B90" s="430" t="str">
        <f>Q!A388</f>
        <v>LV CABLE BOX</v>
      </c>
      <c r="C90" s="431"/>
      <c r="D90" s="20" t="s">
        <v>628</v>
      </c>
      <c r="E90" s="71">
        <v>1</v>
      </c>
      <c r="F90" s="316">
        <v>3761</v>
      </c>
      <c r="G90" s="99">
        <f t="shared" ref="G90:G93" si="32">E90*F90</f>
        <v>3761</v>
      </c>
      <c r="H90" s="67">
        <f ca="1">G90/G$145</f>
        <v>4.9132741713977149E-2</v>
      </c>
      <c r="I90" s="71">
        <f>E90*C$7</f>
        <v>1</v>
      </c>
      <c r="J90" s="60"/>
    </row>
    <row r="91" spans="1:10" ht="15">
      <c r="A91" s="91">
        <v>63</v>
      </c>
      <c r="B91" s="430" t="str">
        <f>Q!A389</f>
        <v>WTI BOX</v>
      </c>
      <c r="C91" s="431"/>
      <c r="D91" s="20" t="s">
        <v>628</v>
      </c>
      <c r="E91" s="71"/>
      <c r="F91" s="316">
        <v>0</v>
      </c>
      <c r="G91" s="99">
        <f t="shared" si="32"/>
        <v>0</v>
      </c>
      <c r="H91" s="67">
        <f t="shared" ref="H91:H93" ca="1" si="33">G91/G$145</f>
        <v>0</v>
      </c>
      <c r="I91" s="71">
        <f t="shared" ref="I91:I93" si="34">E91*C$7</f>
        <v>0</v>
      </c>
      <c r="J91" s="60"/>
    </row>
    <row r="92" spans="1:10" ht="15">
      <c r="A92" s="91">
        <v>64</v>
      </c>
      <c r="B92" s="430" t="str">
        <f>Q!A390</f>
        <v>CONNECTOR BOX</v>
      </c>
      <c r="C92" s="431"/>
      <c r="D92" s="20" t="s">
        <v>628</v>
      </c>
      <c r="E92" s="72"/>
      <c r="F92" s="316">
        <v>150</v>
      </c>
      <c r="G92" s="99">
        <f t="shared" si="32"/>
        <v>0</v>
      </c>
      <c r="H92" s="67">
        <f t="shared" ca="1" si="33"/>
        <v>0</v>
      </c>
      <c r="I92" s="71">
        <f t="shared" si="34"/>
        <v>0</v>
      </c>
      <c r="J92" s="60"/>
    </row>
    <row r="93" spans="1:10" ht="15">
      <c r="A93" s="91">
        <v>65</v>
      </c>
      <c r="B93" s="430" t="str">
        <f>Q!A391</f>
        <v>HV ENCLOSURE</v>
      </c>
      <c r="C93" s="431"/>
      <c r="D93" s="20" t="s">
        <v>628</v>
      </c>
      <c r="E93" s="72"/>
      <c r="F93" s="316">
        <v>0</v>
      </c>
      <c r="G93" s="99">
        <f t="shared" si="32"/>
        <v>0</v>
      </c>
      <c r="H93" s="67">
        <f t="shared" ca="1" si="33"/>
        <v>0</v>
      </c>
      <c r="I93" s="71">
        <f t="shared" si="34"/>
        <v>0</v>
      </c>
      <c r="J93" s="60"/>
    </row>
    <row r="94" spans="1:10" ht="15">
      <c r="A94" s="91">
        <v>66</v>
      </c>
      <c r="B94" s="430"/>
      <c r="C94" s="431"/>
      <c r="D94" s="20"/>
      <c r="E94" s="72"/>
      <c r="F94" s="317"/>
      <c r="G94" s="100"/>
      <c r="H94" s="68"/>
      <c r="I94" s="71"/>
      <c r="J94" s="60"/>
    </row>
    <row r="95" spans="1:10" ht="15" customHeight="1">
      <c r="A95" s="94"/>
      <c r="B95" s="23" t="str">
        <f>Q!A392</f>
        <v>Other Parts</v>
      </c>
      <c r="C95" s="24"/>
      <c r="D95" s="22"/>
      <c r="E95" s="30"/>
      <c r="F95" s="318"/>
      <c r="G95" s="102">
        <f t="shared" si="23"/>
        <v>0</v>
      </c>
      <c r="H95" s="69">
        <f t="shared" ref="H95:H144" ca="1" si="35">G95/G$145</f>
        <v>0</v>
      </c>
      <c r="I95" s="73"/>
      <c r="J95" s="61"/>
    </row>
    <row r="96" spans="1:10" ht="15">
      <c r="A96" s="91">
        <v>67</v>
      </c>
      <c r="B96" s="430" t="str">
        <f>Q!A393</f>
        <v>RATING PLATE</v>
      </c>
      <c r="C96" s="431"/>
      <c r="D96" s="20" t="s">
        <v>628</v>
      </c>
      <c r="E96" s="71">
        <v>1</v>
      </c>
      <c r="F96" s="316">
        <v>3.64</v>
      </c>
      <c r="G96" s="99">
        <f t="shared" si="23"/>
        <v>3.64</v>
      </c>
      <c r="H96" s="67">
        <f t="shared" ca="1" si="35"/>
        <v>4.755202867292657E-5</v>
      </c>
      <c r="I96" s="71">
        <f>E96*C$7</f>
        <v>1</v>
      </c>
      <c r="J96" s="60"/>
    </row>
    <row r="97" spans="1:10" ht="15" customHeight="1">
      <c r="A97" s="260">
        <v>68</v>
      </c>
      <c r="B97" s="430" t="str">
        <f>Q!A394</f>
        <v>PHASE MARKING PLATES</v>
      </c>
      <c r="C97" s="431"/>
      <c r="D97" s="20" t="s">
        <v>628</v>
      </c>
      <c r="E97" s="71">
        <v>1</v>
      </c>
      <c r="F97" s="316">
        <v>1.52</v>
      </c>
      <c r="G97" s="99">
        <f t="shared" si="23"/>
        <v>1.52</v>
      </c>
      <c r="H97" s="67">
        <f t="shared" ca="1" si="35"/>
        <v>1.9856891094189117E-5</v>
      </c>
      <c r="I97" s="71">
        <f t="shared" si="25"/>
        <v>1</v>
      </c>
      <c r="J97" s="60"/>
    </row>
    <row r="98" spans="1:10" ht="15" customHeight="1">
      <c r="A98" s="260">
        <v>69</v>
      </c>
      <c r="B98" s="430" t="str">
        <f>Q!A395</f>
        <v>S/A MOUNTING BRACKET</v>
      </c>
      <c r="C98" s="431"/>
      <c r="D98" s="20" t="s">
        <v>628</v>
      </c>
      <c r="E98" s="71">
        <v>0</v>
      </c>
      <c r="F98" s="316">
        <v>14.467005076142131</v>
      </c>
      <c r="G98" s="99">
        <f t="shared" si="23"/>
        <v>0</v>
      </c>
      <c r="H98" s="67">
        <f t="shared" ca="1" si="35"/>
        <v>0</v>
      </c>
      <c r="I98" s="71">
        <f>E98*C$7</f>
        <v>0</v>
      </c>
      <c r="J98" s="60"/>
    </row>
    <row r="99" spans="1:10" ht="15" customHeight="1">
      <c r="A99" s="420">
        <v>70</v>
      </c>
      <c r="B99" s="430" t="str">
        <f>Q!A396</f>
        <v>ISD UNIT</v>
      </c>
      <c r="C99" s="431"/>
      <c r="D99" s="20" t="s">
        <v>628</v>
      </c>
      <c r="E99" s="71"/>
      <c r="F99" s="316">
        <v>308.60000000000002</v>
      </c>
      <c r="G99" s="99">
        <f t="shared" si="23"/>
        <v>0</v>
      </c>
      <c r="H99" s="67">
        <f t="shared" ca="1" si="35"/>
        <v>0</v>
      </c>
      <c r="I99" s="71">
        <f t="shared" si="25"/>
        <v>0</v>
      </c>
      <c r="J99" s="60"/>
    </row>
    <row r="100" spans="1:10" ht="15" customHeight="1">
      <c r="A100" s="260">
        <v>71</v>
      </c>
      <c r="B100" s="430" t="str">
        <f>Q!A397</f>
        <v>BREATHER 1KG TYPE A</v>
      </c>
      <c r="C100" s="431"/>
      <c r="D100" s="20" t="s">
        <v>628</v>
      </c>
      <c r="E100" s="71"/>
      <c r="F100" s="316">
        <v>16.5</v>
      </c>
      <c r="G100" s="99">
        <f t="shared" si="23"/>
        <v>0</v>
      </c>
      <c r="H100" s="67">
        <f t="shared" ca="1" si="35"/>
        <v>0</v>
      </c>
      <c r="I100" s="71">
        <f t="shared" si="25"/>
        <v>0</v>
      </c>
      <c r="J100" s="60"/>
    </row>
    <row r="101" spans="1:10" ht="15" customHeight="1">
      <c r="A101" s="260">
        <v>72</v>
      </c>
      <c r="B101" s="430" t="str">
        <f>Q!A398</f>
        <v>BREATHER 1KG TYPE B</v>
      </c>
      <c r="C101" s="431"/>
      <c r="D101" s="20" t="s">
        <v>628</v>
      </c>
      <c r="E101" s="71">
        <v>0</v>
      </c>
      <c r="F101" s="316">
        <v>26.015589599999991</v>
      </c>
      <c r="G101" s="99">
        <f t="shared" si="23"/>
        <v>0</v>
      </c>
      <c r="H101" s="67">
        <f t="shared" ca="1" si="35"/>
        <v>0</v>
      </c>
      <c r="I101" s="71">
        <f t="shared" si="25"/>
        <v>0</v>
      </c>
      <c r="J101" s="60"/>
    </row>
    <row r="102" spans="1:10" ht="15" customHeight="1">
      <c r="A102" s="260">
        <v>73</v>
      </c>
      <c r="B102" s="430" t="str">
        <f>Q!A399</f>
        <v>BREATHER 1KG TYPE C</v>
      </c>
      <c r="C102" s="431"/>
      <c r="D102" s="20" t="s">
        <v>628</v>
      </c>
      <c r="E102" s="71">
        <v>0</v>
      </c>
      <c r="F102" s="316">
        <v>17.95</v>
      </c>
      <c r="G102" s="99">
        <f t="shared" si="23"/>
        <v>0</v>
      </c>
      <c r="H102" s="67">
        <f t="shared" ca="1" si="35"/>
        <v>0</v>
      </c>
      <c r="I102" s="71">
        <f t="shared" si="25"/>
        <v>0</v>
      </c>
      <c r="J102" s="60"/>
    </row>
    <row r="103" spans="1:10" ht="15" customHeight="1">
      <c r="A103" s="260">
        <v>74</v>
      </c>
      <c r="B103" s="430" t="str">
        <f>Q!A400</f>
        <v>BREATHER 2KG</v>
      </c>
      <c r="C103" s="431"/>
      <c r="D103" s="20" t="s">
        <v>628</v>
      </c>
      <c r="E103" s="71">
        <v>1</v>
      </c>
      <c r="F103" s="316">
        <v>129.27000000000001</v>
      </c>
      <c r="G103" s="99">
        <f t="shared" ref="G103:G107" si="36">IF(ISERROR(F103),0,F103*E103)</f>
        <v>129.27000000000001</v>
      </c>
      <c r="H103" s="67">
        <f t="shared" ca="1" si="35"/>
        <v>1.6887502050959389E-3</v>
      </c>
      <c r="I103" s="71">
        <f t="shared" ref="I103:I107" si="37">E103*C$7</f>
        <v>1</v>
      </c>
      <c r="J103" s="60"/>
    </row>
    <row r="104" spans="1:10" ht="15" customHeight="1">
      <c r="A104" s="260">
        <v>75</v>
      </c>
      <c r="B104" s="430" t="s">
        <v>654</v>
      </c>
      <c r="C104" s="431"/>
      <c r="D104" s="20" t="s">
        <v>628</v>
      </c>
      <c r="E104" s="71">
        <v>0</v>
      </c>
      <c r="F104" s="316">
        <v>80.38</v>
      </c>
      <c r="G104" s="99">
        <f t="shared" si="36"/>
        <v>0</v>
      </c>
      <c r="H104" s="67">
        <f t="shared" ca="1" si="35"/>
        <v>0</v>
      </c>
      <c r="I104" s="71">
        <f t="shared" si="37"/>
        <v>0</v>
      </c>
      <c r="J104" s="60"/>
    </row>
    <row r="105" spans="1:10" ht="15" customHeight="1">
      <c r="A105" s="260">
        <v>76</v>
      </c>
      <c r="B105" s="430" t="str">
        <f>Q!A402</f>
        <v>THERMOWELL 3/4" BSP</v>
      </c>
      <c r="C105" s="431"/>
      <c r="D105" s="20" t="s">
        <v>628</v>
      </c>
      <c r="E105" s="71"/>
      <c r="F105" s="316">
        <v>10</v>
      </c>
      <c r="G105" s="99">
        <f t="shared" si="36"/>
        <v>0</v>
      </c>
      <c r="H105" s="67">
        <f t="shared" ca="1" si="35"/>
        <v>0</v>
      </c>
      <c r="I105" s="71">
        <f t="shared" si="37"/>
        <v>0</v>
      </c>
      <c r="J105" s="60"/>
    </row>
    <row r="106" spans="1:10" ht="15" customHeight="1">
      <c r="A106" s="260">
        <v>77</v>
      </c>
      <c r="B106" s="430" t="str">
        <f>Q!A403</f>
        <v>THERMOMETER POCKET</v>
      </c>
      <c r="C106" s="431"/>
      <c r="D106" s="20" t="s">
        <v>628</v>
      </c>
      <c r="E106" s="71">
        <v>1</v>
      </c>
      <c r="F106" s="316">
        <v>2.5</v>
      </c>
      <c r="G106" s="99">
        <f t="shared" si="36"/>
        <v>2.5</v>
      </c>
      <c r="H106" s="67">
        <f t="shared" ca="1" si="35"/>
        <v>3.2659360352284728E-5</v>
      </c>
      <c r="I106" s="71">
        <f t="shared" si="37"/>
        <v>1</v>
      </c>
      <c r="J106" s="60"/>
    </row>
    <row r="107" spans="1:10" ht="15" customHeight="1">
      <c r="A107" s="260">
        <v>78</v>
      </c>
      <c r="B107" s="430" t="str">
        <f>Q!A404</f>
        <v>GALVANIZED CUP FOR THERMOMETER POCKET</v>
      </c>
      <c r="C107" s="431"/>
      <c r="D107" s="20" t="s">
        <v>628</v>
      </c>
      <c r="E107" s="71"/>
      <c r="F107" s="316">
        <v>2.5</v>
      </c>
      <c r="G107" s="99">
        <f t="shared" si="36"/>
        <v>0</v>
      </c>
      <c r="H107" s="67">
        <f t="shared" ca="1" si="35"/>
        <v>0</v>
      </c>
      <c r="I107" s="71">
        <f t="shared" si="37"/>
        <v>0</v>
      </c>
      <c r="J107" s="60"/>
    </row>
    <row r="108" spans="1:10" ht="15" customHeight="1">
      <c r="A108" s="260">
        <v>79</v>
      </c>
      <c r="B108" s="430" t="str">
        <f>Q!A405</f>
        <v>BUCHOLZ RELAY EW712</v>
      </c>
      <c r="C108" s="431"/>
      <c r="D108" s="20" t="s">
        <v>628</v>
      </c>
      <c r="E108" s="71">
        <v>1</v>
      </c>
      <c r="F108" s="316">
        <v>262.56</v>
      </c>
      <c r="G108" s="99">
        <f t="shared" ref="G108:G135" si="38">IF(ISERROR(F108),0,F108*E108)</f>
        <v>262.56</v>
      </c>
      <c r="H108" s="67">
        <f t="shared" ref="H108:H135" ca="1" si="39">G108/G$145</f>
        <v>3.4300166616383515E-3</v>
      </c>
      <c r="I108" s="71">
        <f t="shared" ref="I108:I135" si="40">E108*C$7</f>
        <v>1</v>
      </c>
      <c r="J108" s="60"/>
    </row>
    <row r="109" spans="1:10" ht="15" customHeight="1">
      <c r="A109" s="260">
        <v>80</v>
      </c>
      <c r="B109" s="430" t="str">
        <f>Q!A406</f>
        <v>CONSERVATOR FILLING CAP AL. 2"</v>
      </c>
      <c r="C109" s="431"/>
      <c r="D109" s="20" t="s">
        <v>628</v>
      </c>
      <c r="E109" s="71">
        <v>1</v>
      </c>
      <c r="F109" s="316">
        <v>6.06</v>
      </c>
      <c r="G109" s="99">
        <f t="shared" si="38"/>
        <v>6.06</v>
      </c>
      <c r="H109" s="67">
        <f t="shared" ca="1" si="39"/>
        <v>7.9166289493938174E-5</v>
      </c>
      <c r="I109" s="71">
        <f t="shared" si="40"/>
        <v>1</v>
      </c>
      <c r="J109" s="60"/>
    </row>
    <row r="110" spans="1:10" ht="15" customHeight="1">
      <c r="A110" s="260">
        <v>81</v>
      </c>
      <c r="B110" s="430" t="str">
        <f>Q!A407</f>
        <v>T/F WHEEL 7613T00691</v>
      </c>
      <c r="C110" s="431"/>
      <c r="D110" s="20" t="s">
        <v>628</v>
      </c>
      <c r="E110" s="71"/>
      <c r="F110" s="316">
        <v>13.45</v>
      </c>
      <c r="G110" s="99">
        <f t="shared" si="38"/>
        <v>0</v>
      </c>
      <c r="H110" s="67">
        <f t="shared" ca="1" si="39"/>
        <v>0</v>
      </c>
      <c r="I110" s="71">
        <f t="shared" si="40"/>
        <v>0</v>
      </c>
      <c r="J110" s="60"/>
    </row>
    <row r="111" spans="1:10" ht="15" customHeight="1">
      <c r="A111" s="260">
        <v>82</v>
      </c>
      <c r="B111" s="430" t="str">
        <f>Q!A408</f>
        <v>T/F WHEEL 7613T00691</v>
      </c>
      <c r="C111" s="431"/>
      <c r="D111" s="20" t="s">
        <v>628</v>
      </c>
      <c r="E111" s="71"/>
      <c r="F111" s="316"/>
      <c r="G111" s="99">
        <f t="shared" si="38"/>
        <v>0</v>
      </c>
      <c r="H111" s="67">
        <f t="shared" ca="1" si="39"/>
        <v>0</v>
      </c>
      <c r="I111" s="71">
        <f t="shared" si="40"/>
        <v>0</v>
      </c>
      <c r="J111" s="60"/>
    </row>
    <row r="112" spans="1:10" ht="15">
      <c r="A112" s="260">
        <v>83</v>
      </c>
      <c r="B112" s="430" t="str">
        <f>Q!A409</f>
        <v>WINDING TEMP. INDICATOR TD50 (354 01 12X6.0)</v>
      </c>
      <c r="C112" s="431"/>
      <c r="D112" s="20" t="s">
        <v>628</v>
      </c>
      <c r="E112" s="71"/>
      <c r="F112" s="316"/>
      <c r="G112" s="99">
        <f t="shared" si="38"/>
        <v>0</v>
      </c>
      <c r="H112" s="67">
        <f t="shared" ca="1" si="39"/>
        <v>0</v>
      </c>
      <c r="I112" s="71">
        <f t="shared" si="40"/>
        <v>0</v>
      </c>
      <c r="J112" s="60"/>
    </row>
    <row r="113" spans="1:12" ht="15" customHeight="1">
      <c r="A113" s="260">
        <v>84</v>
      </c>
      <c r="B113" s="430" t="str">
        <f>Q!A410</f>
        <v>WINDING TEMP. INDICATOR TD76 (354 01 12X6.0)</v>
      </c>
      <c r="C113" s="431"/>
      <c r="D113" s="20" t="s">
        <v>628</v>
      </c>
      <c r="E113" s="71"/>
      <c r="F113" s="316"/>
      <c r="G113" s="99">
        <f t="shared" si="38"/>
        <v>0</v>
      </c>
      <c r="H113" s="67">
        <f t="shared" ca="1" si="39"/>
        <v>0</v>
      </c>
      <c r="I113" s="71">
        <f t="shared" si="40"/>
        <v>0</v>
      </c>
      <c r="J113" s="60"/>
    </row>
    <row r="114" spans="1:12" ht="15" customHeight="1">
      <c r="A114" s="260">
        <v>85</v>
      </c>
      <c r="B114" s="430" t="str">
        <f>Q!A411</f>
        <v>RTD WTI (PT100)</v>
      </c>
      <c r="C114" s="431"/>
      <c r="D114" s="20" t="s">
        <v>655</v>
      </c>
      <c r="E114" s="71"/>
      <c r="F114" s="316"/>
      <c r="G114" s="99">
        <f t="shared" si="38"/>
        <v>0</v>
      </c>
      <c r="H114" s="67">
        <f t="shared" ca="1" si="39"/>
        <v>0</v>
      </c>
      <c r="I114" s="71">
        <f t="shared" si="40"/>
        <v>0</v>
      </c>
      <c r="J114" s="60"/>
    </row>
    <row r="115" spans="1:12" ht="15" customHeight="1">
      <c r="A115" s="260">
        <v>86</v>
      </c>
      <c r="B115" s="430" t="str">
        <f>Q!A412</f>
        <v>RTD OTI (PT100)</v>
      </c>
      <c r="C115" s="431"/>
      <c r="D115" s="20" t="s">
        <v>655</v>
      </c>
      <c r="E115" s="71"/>
      <c r="F115" s="316"/>
      <c r="G115" s="99">
        <f t="shared" si="38"/>
        <v>0</v>
      </c>
      <c r="H115" s="67">
        <f t="shared" ca="1" si="39"/>
        <v>0</v>
      </c>
      <c r="I115" s="71">
        <f t="shared" si="40"/>
        <v>0</v>
      </c>
      <c r="J115" s="60"/>
    </row>
    <row r="116" spans="1:12" ht="15" customHeight="1">
      <c r="A116" s="260">
        <v>87</v>
      </c>
      <c r="B116" s="430" t="str">
        <f>Q!A413</f>
        <v>CT 3000/2A Oil Immersed (Measuring) Ring Type 15VA/0.5</v>
      </c>
      <c r="C116" s="431"/>
      <c r="D116" s="20" t="s">
        <v>628</v>
      </c>
      <c r="E116" s="71"/>
      <c r="F116" s="316">
        <v>50</v>
      </c>
      <c r="G116" s="99">
        <f t="shared" si="38"/>
        <v>0</v>
      </c>
      <c r="H116" s="67">
        <f t="shared" ca="1" si="39"/>
        <v>0</v>
      </c>
      <c r="I116" s="71">
        <f t="shared" si="40"/>
        <v>0</v>
      </c>
      <c r="J116" s="60"/>
    </row>
    <row r="117" spans="1:12" ht="15" customHeight="1">
      <c r="A117" s="260">
        <v>88</v>
      </c>
      <c r="B117" s="430" t="str">
        <f>Q!A414</f>
        <v>CT 5000/5A Oil Immersed (Measuring) Ring Type 15VA/0.5</v>
      </c>
      <c r="C117" s="431"/>
      <c r="D117" s="20" t="s">
        <v>628</v>
      </c>
      <c r="E117" s="71"/>
      <c r="F117" s="316">
        <v>60</v>
      </c>
      <c r="G117" s="99">
        <f t="shared" si="38"/>
        <v>0</v>
      </c>
      <c r="H117" s="67">
        <f t="shared" ca="1" si="39"/>
        <v>0</v>
      </c>
      <c r="I117" s="71">
        <f t="shared" si="40"/>
        <v>0</v>
      </c>
      <c r="J117" s="60"/>
    </row>
    <row r="118" spans="1:12" ht="15" customHeight="1">
      <c r="A118" s="260">
        <v>89</v>
      </c>
      <c r="B118" s="430" t="str">
        <f>Q!A415</f>
        <v>CT 1600/1A 5P20 15VA/0.5 2 Core</v>
      </c>
      <c r="C118" s="431"/>
      <c r="D118" s="20" t="s">
        <v>628</v>
      </c>
      <c r="E118" s="71"/>
      <c r="F118" s="316">
        <v>170.10000000000002</v>
      </c>
      <c r="G118" s="99">
        <f t="shared" si="38"/>
        <v>0</v>
      </c>
      <c r="H118" s="67">
        <f t="shared" ca="1" si="39"/>
        <v>0</v>
      </c>
      <c r="I118" s="71">
        <f t="shared" si="40"/>
        <v>0</v>
      </c>
      <c r="J118" s="60"/>
    </row>
    <row r="119" spans="1:12" ht="15" customHeight="1">
      <c r="A119" s="260">
        <v>90</v>
      </c>
      <c r="B119" s="430" t="str">
        <f>Q!A416</f>
        <v>NCT 400/1A 5P20 15VA</v>
      </c>
      <c r="C119" s="431"/>
      <c r="D119" s="20" t="s">
        <v>628</v>
      </c>
      <c r="E119" s="71"/>
      <c r="F119" s="316">
        <v>400</v>
      </c>
      <c r="G119" s="99">
        <f t="shared" si="38"/>
        <v>0</v>
      </c>
      <c r="H119" s="67">
        <f t="shared" ca="1" si="39"/>
        <v>0</v>
      </c>
      <c r="I119" s="71">
        <f t="shared" si="40"/>
        <v>0</v>
      </c>
      <c r="J119" s="60"/>
    </row>
    <row r="120" spans="1:12" ht="15" customHeight="1">
      <c r="A120" s="260">
        <v>91</v>
      </c>
      <c r="B120" s="430" t="str">
        <f>Q!A417</f>
        <v>NCT 1600/1A 5P20 15VA</v>
      </c>
      <c r="C120" s="431"/>
      <c r="D120" s="20" t="s">
        <v>628</v>
      </c>
      <c r="E120" s="71"/>
      <c r="F120" s="316">
        <v>127.575</v>
      </c>
      <c r="G120" s="99">
        <f t="shared" si="38"/>
        <v>0</v>
      </c>
      <c r="H120" s="67">
        <f t="shared" ca="1" si="39"/>
        <v>0</v>
      </c>
      <c r="I120" s="71">
        <f t="shared" si="40"/>
        <v>0</v>
      </c>
      <c r="J120" s="60"/>
    </row>
    <row r="121" spans="1:12" ht="15" customHeight="1">
      <c r="A121" s="260">
        <v>92</v>
      </c>
      <c r="B121" s="430" t="str">
        <f>Q!A418</f>
        <v>NCT 2000/1A 5P20 15VA</v>
      </c>
      <c r="C121" s="431"/>
      <c r="D121" s="20" t="s">
        <v>628</v>
      </c>
      <c r="E121" s="71"/>
      <c r="F121" s="316">
        <v>297.67500000000001</v>
      </c>
      <c r="G121" s="99">
        <f t="shared" si="38"/>
        <v>0</v>
      </c>
      <c r="H121" s="67">
        <f t="shared" ca="1" si="39"/>
        <v>0</v>
      </c>
      <c r="I121" s="71">
        <f t="shared" si="40"/>
        <v>0</v>
      </c>
      <c r="J121" s="60"/>
    </row>
    <row r="122" spans="1:12" ht="15" customHeight="1">
      <c r="A122" s="260">
        <v>93</v>
      </c>
      <c r="B122" s="430" t="str">
        <f>Q!A419</f>
        <v>CT TERMINAL BOX (2 TERMINALS)</v>
      </c>
      <c r="C122" s="431"/>
      <c r="D122" s="20" t="s">
        <v>628</v>
      </c>
      <c r="E122" s="71"/>
      <c r="F122" s="316"/>
      <c r="G122" s="99">
        <f t="shared" si="38"/>
        <v>0</v>
      </c>
      <c r="H122" s="67">
        <f t="shared" ca="1" si="39"/>
        <v>0</v>
      </c>
      <c r="I122" s="71">
        <f t="shared" si="40"/>
        <v>0</v>
      </c>
      <c r="J122" s="60"/>
    </row>
    <row r="123" spans="1:12" ht="13.9" customHeight="1">
      <c r="A123" s="260">
        <v>94</v>
      </c>
      <c r="B123" s="430" t="str">
        <f>Q!A420</f>
        <v>CT TERMINAL BOX (4 TERMINALS)</v>
      </c>
      <c r="C123" s="431"/>
      <c r="D123" s="20" t="s">
        <v>628</v>
      </c>
      <c r="E123" s="71"/>
      <c r="F123" s="316">
        <v>77.303466239999992</v>
      </c>
      <c r="G123" s="99">
        <f t="shared" si="38"/>
        <v>0</v>
      </c>
      <c r="H123" s="67">
        <f t="shared" ca="1" si="39"/>
        <v>0</v>
      </c>
      <c r="I123" s="71">
        <f t="shared" si="40"/>
        <v>0</v>
      </c>
      <c r="J123" s="60"/>
    </row>
    <row r="124" spans="1:12" ht="15" customHeight="1">
      <c r="A124" s="260">
        <v>95</v>
      </c>
      <c r="B124" s="430" t="str">
        <f>Q!A421</f>
        <v>CT TERMINAL BOX (6 TERMINALS)</v>
      </c>
      <c r="C124" s="431"/>
      <c r="D124" s="20" t="s">
        <v>628</v>
      </c>
      <c r="E124" s="71"/>
      <c r="F124" s="316"/>
      <c r="G124" s="99">
        <f t="shared" si="38"/>
        <v>0</v>
      </c>
      <c r="H124" s="67">
        <f t="shared" ca="1" si="39"/>
        <v>0</v>
      </c>
      <c r="I124" s="71">
        <f t="shared" si="40"/>
        <v>0</v>
      </c>
      <c r="J124" s="60"/>
    </row>
    <row r="125" spans="1:12" ht="15" customHeight="1">
      <c r="A125" s="260">
        <v>96</v>
      </c>
      <c r="B125" s="430" t="str">
        <f>Q!A422</f>
        <v>24kV ELBOW CONNECTOR SET (03)</v>
      </c>
      <c r="C125" s="431"/>
      <c r="D125" s="20" t="s">
        <v>628</v>
      </c>
      <c r="E125" s="71">
        <v>0</v>
      </c>
      <c r="F125" s="316"/>
      <c r="G125" s="99">
        <f t="shared" si="38"/>
        <v>0</v>
      </c>
      <c r="H125" s="67">
        <f t="shared" ca="1" si="39"/>
        <v>0</v>
      </c>
      <c r="I125" s="71">
        <f t="shared" si="40"/>
        <v>0</v>
      </c>
      <c r="J125" s="60"/>
    </row>
    <row r="126" spans="1:12" ht="15" customHeight="1">
      <c r="A126" s="260">
        <v>97</v>
      </c>
      <c r="B126" s="430" t="str">
        <f>Q!A423</f>
        <v>36kV ELBOW CONNECTOR SET (03)</v>
      </c>
      <c r="C126" s="431"/>
      <c r="D126" s="20" t="s">
        <v>628</v>
      </c>
      <c r="E126" s="71">
        <v>0</v>
      </c>
      <c r="F126" s="316"/>
      <c r="G126" s="99">
        <f t="shared" si="38"/>
        <v>0</v>
      </c>
      <c r="H126" s="67">
        <f t="shared" ca="1" si="39"/>
        <v>0</v>
      </c>
      <c r="I126" s="71">
        <f t="shared" si="40"/>
        <v>0</v>
      </c>
      <c r="J126" s="60"/>
    </row>
    <row r="127" spans="1:12" ht="15" customHeight="1">
      <c r="A127" s="260">
        <v>98</v>
      </c>
      <c r="B127" s="430" t="str">
        <f>Q!A424</f>
        <v>52kV ELBOW CONNECTOR SET (04)</v>
      </c>
      <c r="C127" s="431"/>
      <c r="D127" s="20" t="s">
        <v>628</v>
      </c>
      <c r="E127" s="71">
        <v>0</v>
      </c>
      <c r="F127" s="316"/>
      <c r="G127" s="99">
        <f t="shared" si="38"/>
        <v>0</v>
      </c>
      <c r="H127" s="67">
        <f t="shared" ca="1" si="39"/>
        <v>0</v>
      </c>
      <c r="I127" s="71">
        <f t="shared" si="40"/>
        <v>0</v>
      </c>
      <c r="J127" s="60"/>
      <c r="L127" s="372"/>
    </row>
    <row r="128" spans="1:12" ht="15" customHeight="1">
      <c r="A128" s="260">
        <v>99</v>
      </c>
      <c r="B128" s="430" t="str">
        <f>Q!A425</f>
        <v>OBO SURGE ARRESTERS</v>
      </c>
      <c r="C128" s="431"/>
      <c r="D128" s="20" t="s">
        <v>628</v>
      </c>
      <c r="E128" s="71">
        <v>0</v>
      </c>
      <c r="F128" s="316"/>
      <c r="G128" s="99">
        <f t="shared" si="38"/>
        <v>0</v>
      </c>
      <c r="H128" s="67">
        <f t="shared" ca="1" si="39"/>
        <v>0</v>
      </c>
      <c r="I128" s="71">
        <f t="shared" si="40"/>
        <v>0</v>
      </c>
      <c r="J128" s="60"/>
    </row>
    <row r="129" spans="1:13" ht="15" customHeight="1">
      <c r="A129" s="260">
        <v>100</v>
      </c>
      <c r="B129" s="430" t="str">
        <f>Q!A426</f>
        <v>LTL Name Board</v>
      </c>
      <c r="C129" s="431"/>
      <c r="D129" s="20" t="s">
        <v>628</v>
      </c>
      <c r="E129" s="71">
        <v>1</v>
      </c>
      <c r="F129" s="316">
        <v>7.0270270270270272</v>
      </c>
      <c r="G129" s="99">
        <f t="shared" si="38"/>
        <v>7.0270270270270272</v>
      </c>
      <c r="H129" s="67">
        <f t="shared" ca="1" si="39"/>
        <v>9.1799283152367892E-5</v>
      </c>
      <c r="I129" s="71">
        <f t="shared" si="40"/>
        <v>1</v>
      </c>
      <c r="J129" s="60"/>
    </row>
    <row r="130" spans="1:13" ht="15" customHeight="1">
      <c r="A130" s="260">
        <v>101</v>
      </c>
      <c r="B130" s="430" t="str">
        <f>Q!A427</f>
        <v>Nut, Bolt &amp; 2 Washers (Galvanized) M10 x 40 mm</v>
      </c>
      <c r="C130" s="431"/>
      <c r="D130" s="20" t="s">
        <v>628</v>
      </c>
      <c r="E130" s="71">
        <v>0</v>
      </c>
      <c r="F130" s="316">
        <v>0.43</v>
      </c>
      <c r="G130" s="99">
        <f t="shared" si="38"/>
        <v>0</v>
      </c>
      <c r="H130" s="67">
        <f t="shared" ca="1" si="39"/>
        <v>0</v>
      </c>
      <c r="I130" s="71">
        <f t="shared" si="40"/>
        <v>0</v>
      </c>
      <c r="J130" s="60"/>
    </row>
    <row r="131" spans="1:13" ht="15.75" customHeight="1">
      <c r="A131" s="260">
        <v>102</v>
      </c>
      <c r="B131" s="430" t="str">
        <f>Q!A428</f>
        <v>Split washers for tank cover fixing</v>
      </c>
      <c r="C131" s="431"/>
      <c r="D131" s="20" t="s">
        <v>628</v>
      </c>
      <c r="E131" s="71">
        <v>0</v>
      </c>
      <c r="F131" s="316">
        <v>0.43</v>
      </c>
      <c r="G131" s="99">
        <f t="shared" si="38"/>
        <v>0</v>
      </c>
      <c r="H131" s="67">
        <f t="shared" ca="1" si="39"/>
        <v>0</v>
      </c>
      <c r="I131" s="71">
        <f t="shared" si="40"/>
        <v>0</v>
      </c>
      <c r="J131" s="60"/>
    </row>
    <row r="132" spans="1:13" ht="15" customHeight="1">
      <c r="A132" s="260">
        <v>103</v>
      </c>
      <c r="B132" s="430" t="str">
        <f>Q!A429</f>
        <v>M12 bolt, nut, spring washer &amp; lock washer for earthing terminal</v>
      </c>
      <c r="C132" s="431"/>
      <c r="D132" s="20" t="s">
        <v>628</v>
      </c>
      <c r="E132" s="71"/>
      <c r="F132" s="316">
        <v>178.64</v>
      </c>
      <c r="G132" s="99">
        <f t="shared" si="38"/>
        <v>0</v>
      </c>
      <c r="H132" s="67">
        <f t="shared" ca="1" si="39"/>
        <v>0</v>
      </c>
      <c r="I132" s="71">
        <f t="shared" si="40"/>
        <v>0</v>
      </c>
      <c r="J132" s="60"/>
    </row>
    <row r="133" spans="1:13" ht="15" customHeight="1">
      <c r="A133" s="260">
        <v>104</v>
      </c>
      <c r="B133" s="430" t="s">
        <v>656</v>
      </c>
      <c r="C133" s="431"/>
      <c r="D133" s="20" t="s">
        <v>628</v>
      </c>
      <c r="E133" s="71">
        <v>0</v>
      </c>
      <c r="F133" s="316">
        <v>175</v>
      </c>
      <c r="G133" s="99">
        <f t="shared" si="38"/>
        <v>0</v>
      </c>
      <c r="H133" s="67">
        <f t="shared" ca="1" si="39"/>
        <v>0</v>
      </c>
      <c r="I133" s="71">
        <f t="shared" si="40"/>
        <v>0</v>
      </c>
      <c r="J133" s="60"/>
    </row>
    <row r="134" spans="1:13" ht="15" customHeight="1">
      <c r="A134" s="260">
        <v>105</v>
      </c>
      <c r="B134" s="430" t="s">
        <v>657</v>
      </c>
      <c r="C134" s="431"/>
      <c r="D134" s="20" t="s">
        <v>628</v>
      </c>
      <c r="E134" s="71"/>
      <c r="F134" s="316">
        <v>65</v>
      </c>
      <c r="G134" s="99">
        <f t="shared" ref="G134" si="41">IF(ISERROR(F134),0,F134*E134)</f>
        <v>0</v>
      </c>
      <c r="H134" s="67">
        <f t="shared" ref="H134" ca="1" si="42">G134/G$145</f>
        <v>0</v>
      </c>
      <c r="I134" s="71">
        <f t="shared" ref="I134" si="43">E134*C$7</f>
        <v>0</v>
      </c>
      <c r="J134" s="60"/>
    </row>
    <row r="135" spans="1:13" ht="15" customHeight="1">
      <c r="A135" s="260">
        <v>105</v>
      </c>
      <c r="B135" s="430" t="s">
        <v>658</v>
      </c>
      <c r="C135" s="431"/>
      <c r="D135" s="20" t="s">
        <v>628</v>
      </c>
      <c r="E135" s="71">
        <v>0</v>
      </c>
      <c r="F135" s="373">
        <v>20</v>
      </c>
      <c r="G135" s="99">
        <f t="shared" si="38"/>
        <v>0</v>
      </c>
      <c r="H135" s="67">
        <f t="shared" ca="1" si="39"/>
        <v>0</v>
      </c>
      <c r="I135" s="71">
        <f t="shared" si="40"/>
        <v>0</v>
      </c>
      <c r="J135" s="60"/>
    </row>
    <row r="136" spans="1:13" ht="15" customHeight="1">
      <c r="A136" s="94"/>
      <c r="B136" s="23" t="str">
        <f>Q!A435</f>
        <v>Painting</v>
      </c>
      <c r="C136" s="24"/>
      <c r="D136" s="22"/>
      <c r="E136" s="30"/>
      <c r="F136" s="318"/>
      <c r="G136" s="102">
        <f t="shared" ref="G136:G141" si="44">IF(ISERROR(F136),0,F136*E136)</f>
        <v>0</v>
      </c>
      <c r="H136" s="69">
        <f t="shared" ca="1" si="35"/>
        <v>0</v>
      </c>
      <c r="I136" s="73"/>
      <c r="J136" s="61"/>
    </row>
    <row r="137" spans="1:13" ht="13.5" customHeight="1">
      <c r="A137" s="91">
        <v>106</v>
      </c>
      <c r="B137" s="430" t="str">
        <f>Q!A436</f>
        <v>GALVANIZING</v>
      </c>
      <c r="C137" s="431"/>
      <c r="D137" s="20" t="s">
        <v>619</v>
      </c>
      <c r="E137" s="71">
        <f>Q!D436</f>
        <v>0</v>
      </c>
      <c r="F137" s="316">
        <v>0.30843243243243246</v>
      </c>
      <c r="G137" s="99">
        <f t="shared" si="44"/>
        <v>0</v>
      </c>
      <c r="H137" s="67">
        <f t="shared" ca="1" si="35"/>
        <v>0</v>
      </c>
      <c r="I137" s="71">
        <f>E137*C$7</f>
        <v>0</v>
      </c>
      <c r="J137" s="60"/>
    </row>
    <row r="138" spans="1:13" ht="12.75" customHeight="1">
      <c r="A138" s="91">
        <v>107</v>
      </c>
      <c r="B138" s="430" t="str">
        <f>Q!A437</f>
        <v>PRIMER PAINT &amp; THINNER</v>
      </c>
      <c r="C138" s="431"/>
      <c r="D138" s="20" t="s">
        <v>619</v>
      </c>
      <c r="E138" s="99"/>
      <c r="F138" s="316">
        <v>9.1999999999999993</v>
      </c>
      <c r="G138" s="99">
        <f t="shared" si="44"/>
        <v>0</v>
      </c>
      <c r="H138" s="67">
        <f t="shared" ca="1" si="35"/>
        <v>0</v>
      </c>
      <c r="I138" s="71">
        <f>E138*C$7</f>
        <v>0</v>
      </c>
      <c r="J138" s="60"/>
    </row>
    <row r="139" spans="1:13" ht="12.75" customHeight="1">
      <c r="A139" s="91">
        <v>108</v>
      </c>
      <c r="B139" s="430" t="str">
        <f>Q!A438</f>
        <v>POWDER PAINT (RAL7033)</v>
      </c>
      <c r="C139" s="431"/>
      <c r="D139" s="20" t="s">
        <v>619</v>
      </c>
      <c r="E139" s="99"/>
      <c r="F139" s="316">
        <v>5.26</v>
      </c>
      <c r="G139" s="99">
        <f t="shared" si="44"/>
        <v>0</v>
      </c>
      <c r="H139" s="67">
        <f t="shared" ca="1" si="35"/>
        <v>0</v>
      </c>
      <c r="I139" s="71">
        <f>E139*C$7</f>
        <v>0</v>
      </c>
      <c r="J139" s="60"/>
      <c r="L139" s="1"/>
    </row>
    <row r="140" spans="1:13" ht="12.75" customHeight="1">
      <c r="A140" s="91">
        <v>109</v>
      </c>
      <c r="B140" s="430" t="str">
        <f>Q!A439</f>
        <v>INTERNAL PAINT</v>
      </c>
      <c r="C140" s="431"/>
      <c r="D140" s="20" t="s">
        <v>619</v>
      </c>
      <c r="E140" s="99"/>
      <c r="F140" s="316">
        <v>7.6836759999999993</v>
      </c>
      <c r="G140" s="99">
        <f t="shared" ref="G140" si="45">IF(ISERROR(F140),0,F140*E140)</f>
        <v>0</v>
      </c>
      <c r="H140" s="67">
        <f t="shared" ref="H140" ca="1" si="46">G140/G$145</f>
        <v>0</v>
      </c>
      <c r="I140" s="71">
        <f>E140*C$7</f>
        <v>0</v>
      </c>
      <c r="J140" s="60"/>
      <c r="L140" s="1"/>
    </row>
    <row r="141" spans="1:13" ht="12.75" customHeight="1">
      <c r="A141" s="91"/>
      <c r="B141" s="430">
        <f>Q!A434</f>
        <v>0</v>
      </c>
      <c r="C141" s="431"/>
      <c r="D141" s="20"/>
      <c r="E141" s="71">
        <f>Q!D434</f>
        <v>0</v>
      </c>
      <c r="F141" s="316"/>
      <c r="G141" s="99">
        <f t="shared" si="44"/>
        <v>0</v>
      </c>
      <c r="H141" s="67">
        <f t="shared" ca="1" si="35"/>
        <v>0</v>
      </c>
      <c r="I141" s="71">
        <f>E141*C$7</f>
        <v>0</v>
      </c>
      <c r="J141" s="60"/>
      <c r="M141" s="16"/>
    </row>
    <row r="142" spans="1:13" ht="12.75" customHeight="1">
      <c r="A142" s="117"/>
      <c r="B142" s="118" t="s">
        <v>659</v>
      </c>
      <c r="C142" s="118"/>
      <c r="D142" s="118" t="s">
        <v>660</v>
      </c>
      <c r="E142" s="118" t="s">
        <v>661</v>
      </c>
      <c r="F142" s="123"/>
      <c r="G142" s="133">
        <f ca="1">SUM(G11:G53
)+SUM(G136:G141)</f>
        <v>64358.595941001346</v>
      </c>
      <c r="H142" s="124">
        <f t="shared" ca="1" si="35"/>
        <v>0.84076423064170092</v>
      </c>
      <c r="I142" s="133">
        <f ca="1">G142*C$7</f>
        <v>64358.595941001346</v>
      </c>
      <c r="J142" s="119"/>
      <c r="M142" s="114"/>
    </row>
    <row r="143" spans="1:13" ht="12.75" customHeight="1">
      <c r="A143" s="120"/>
      <c r="B143" s="121" t="s">
        <v>662</v>
      </c>
      <c r="C143" s="121"/>
      <c r="D143" s="121" t="s">
        <v>660</v>
      </c>
      <c r="E143" s="121" t="s">
        <v>661</v>
      </c>
      <c r="F143" s="125"/>
      <c r="G143" s="134">
        <f>SUM(G55:G135)</f>
        <v>8544.0070270270262</v>
      </c>
      <c r="H143" s="126">
        <f t="shared" ca="1" si="35"/>
        <v>0.11161672173925143</v>
      </c>
      <c r="I143" s="134">
        <f>G143*C$7</f>
        <v>8544.0070270270262</v>
      </c>
      <c r="J143" s="122"/>
      <c r="M143" s="114"/>
    </row>
    <row r="144" spans="1:13" ht="12.75" customHeight="1">
      <c r="A144" s="120"/>
      <c r="B144" s="121" t="s">
        <v>663</v>
      </c>
      <c r="C144" s="121"/>
      <c r="D144" s="121" t="s">
        <v>660</v>
      </c>
      <c r="E144" s="121" t="s">
        <v>661</v>
      </c>
      <c r="F144" s="132">
        <v>0.05</v>
      </c>
      <c r="G144" s="134">
        <f ca="1">SUM(G142:G143)*F144</f>
        <v>3645.1301484014184</v>
      </c>
      <c r="H144" s="126">
        <f t="shared" ca="1" si="35"/>
        <v>4.7619047619047616E-2</v>
      </c>
      <c r="I144" s="134">
        <f ca="1">G144*C$7</f>
        <v>3645.1301484014184</v>
      </c>
      <c r="J144" s="122"/>
      <c r="M144" s="114"/>
    </row>
    <row r="145" spans="1:13" ht="12.75" customHeight="1">
      <c r="A145" s="396"/>
      <c r="B145" s="397" t="s">
        <v>664</v>
      </c>
      <c r="C145" s="397"/>
      <c r="D145" s="397" t="s">
        <v>660</v>
      </c>
      <c r="E145" s="397" t="s">
        <v>661</v>
      </c>
      <c r="F145" s="398"/>
      <c r="G145" s="399">
        <f ca="1">SUM(G142:G144)</f>
        <v>76547.733116429794</v>
      </c>
      <c r="H145" s="136" t="e">
        <f ca="1">G145/G$150</f>
        <v>#DIV/0!</v>
      </c>
      <c r="I145" s="399">
        <f ca="1">G145*C$7</f>
        <v>76547.733116429794</v>
      </c>
      <c r="J145" s="400"/>
      <c r="M145" s="1"/>
    </row>
    <row r="146" spans="1:13" ht="12.75" customHeight="1">
      <c r="A146" s="396"/>
      <c r="B146" s="397"/>
      <c r="C146" s="397"/>
      <c r="D146" s="397"/>
      <c r="E146" s="401"/>
      <c r="F146" s="402"/>
      <c r="G146" s="399"/>
      <c r="H146" s="136"/>
      <c r="I146" s="399"/>
      <c r="J146" s="400"/>
      <c r="M146" s="1"/>
    </row>
    <row r="147" spans="1:13" ht="12.75" customHeight="1">
      <c r="A147" s="95"/>
      <c r="B147" s="65"/>
      <c r="C147" s="65"/>
      <c r="D147" s="65"/>
      <c r="E147" s="65"/>
      <c r="F147" s="127"/>
      <c r="G147" s="135"/>
      <c r="H147" s="403"/>
      <c r="I147" s="135"/>
      <c r="J147" s="66"/>
      <c r="M147" s="1"/>
    </row>
    <row r="148" spans="1:13" s="16" customFormat="1" ht="12.75" customHeight="1">
      <c r="A148" s="107"/>
      <c r="B148" s="108"/>
      <c r="C148" s="108"/>
      <c r="D148" s="108"/>
      <c r="E148" s="108"/>
      <c r="F148" s="128"/>
      <c r="G148" s="129"/>
      <c r="H148" s="404"/>
      <c r="I148" s="129"/>
      <c r="J148" s="109"/>
    </row>
    <row r="149" spans="1:13" s="16" customFormat="1" ht="12.75" customHeight="1">
      <c r="A149" s="115"/>
      <c r="B149" s="113"/>
      <c r="C149" s="113"/>
      <c r="D149" s="113"/>
      <c r="E149" s="113"/>
      <c r="F149" s="130"/>
      <c r="G149" s="164"/>
      <c r="H149" s="405"/>
      <c r="I149" s="130"/>
      <c r="J149" s="116"/>
    </row>
    <row r="150" spans="1:13" s="16" customFormat="1" ht="12.75" customHeight="1" thickBot="1">
      <c r="A150" s="110"/>
      <c r="B150" s="111"/>
      <c r="C150" s="111"/>
      <c r="D150" s="111"/>
      <c r="E150" s="111"/>
      <c r="F150" s="131"/>
      <c r="G150" s="131"/>
      <c r="H150" s="131"/>
      <c r="I150" s="131"/>
      <c r="J150" s="112"/>
      <c r="M150" s="1"/>
    </row>
    <row r="151" spans="1:13" s="16" customFormat="1" ht="12.75" customHeight="1">
      <c r="A151" s="406"/>
      <c r="B151" s="407"/>
      <c r="C151" s="407"/>
      <c r="D151" s="407"/>
      <c r="E151" s="407"/>
      <c r="F151" s="408"/>
      <c r="G151" s="409"/>
      <c r="H151" s="410"/>
      <c r="I151" s="409"/>
      <c r="J151" s="411"/>
    </row>
    <row r="152" spans="1:13" ht="12.75" customHeight="1" thickBot="1">
      <c r="A152" s="432" t="s">
        <v>665</v>
      </c>
      <c r="B152" s="433"/>
      <c r="C152" s="291"/>
      <c r="D152" s="291"/>
      <c r="E152" s="292"/>
      <c r="F152" s="293"/>
      <c r="G152" s="294"/>
      <c r="H152" s="412"/>
      <c r="I152" s="294"/>
      <c r="J152" s="295"/>
    </row>
    <row r="153" spans="1:13" ht="12.75" customHeight="1">
      <c r="A153" s="246"/>
      <c r="B153" s="246"/>
      <c r="C153" s="246"/>
      <c r="D153" s="246"/>
      <c r="E153" s="247"/>
      <c r="F153" s="248"/>
      <c r="G153" s="249"/>
      <c r="H153" s="413"/>
      <c r="I153" s="249"/>
      <c r="J153" s="246"/>
    </row>
    <row r="154" spans="1:13" ht="12.75" customHeight="1">
      <c r="A154" s="250"/>
      <c r="B154" s="250"/>
      <c r="C154" s="250"/>
      <c r="D154" s="250"/>
      <c r="E154" s="250"/>
      <c r="F154" s="251"/>
      <c r="G154" s="252"/>
      <c r="H154" s="414"/>
      <c r="I154" s="252"/>
      <c r="J154" s="250"/>
    </row>
    <row r="155" spans="1:13" ht="12.75" customHeight="1">
      <c r="A155" s="250"/>
      <c r="B155" s="253"/>
      <c r="C155" s="250"/>
      <c r="D155" s="250"/>
      <c r="E155" s="250"/>
      <c r="F155" s="251"/>
      <c r="G155" s="252"/>
      <c r="H155" s="414"/>
      <c r="I155" s="252"/>
      <c r="J155" s="250"/>
    </row>
    <row r="156" spans="1:13" ht="12.75" customHeight="1">
      <c r="A156" s="250"/>
      <c r="B156" s="250"/>
      <c r="C156" s="250"/>
      <c r="D156" s="250"/>
      <c r="E156" s="250"/>
      <c r="F156" s="251"/>
      <c r="G156" s="252"/>
      <c r="H156" s="414"/>
      <c r="I156" s="252"/>
      <c r="J156" s="250"/>
    </row>
    <row r="157" spans="1:13" ht="12.75" customHeight="1">
      <c r="A157" s="250"/>
      <c r="B157" s="250"/>
      <c r="C157" s="250"/>
      <c r="D157" s="250"/>
      <c r="E157" s="250"/>
      <c r="F157" s="251"/>
      <c r="G157" s="252"/>
      <c r="H157" s="414"/>
      <c r="I157" s="252"/>
      <c r="J157" s="250"/>
    </row>
    <row r="158" spans="1:13" ht="12.75" customHeight="1">
      <c r="A158" s="250"/>
      <c r="B158" s="250"/>
      <c r="C158" s="250"/>
      <c r="D158" s="250"/>
      <c r="E158" s="250"/>
      <c r="F158" s="251"/>
      <c r="G158" s="252"/>
      <c r="H158" s="414"/>
      <c r="I158" s="252"/>
      <c r="J158" s="250"/>
    </row>
    <row r="159" spans="1:13" ht="12.75" customHeight="1">
      <c r="A159" s="254"/>
      <c r="B159" s="254"/>
      <c r="C159" s="254"/>
      <c r="D159" s="254"/>
      <c r="E159" s="254"/>
      <c r="F159" s="255"/>
      <c r="G159" s="256"/>
      <c r="H159" s="415"/>
      <c r="I159" s="255"/>
      <c r="J159" s="254"/>
    </row>
    <row r="160" spans="1:13" ht="12.75" customHeight="1">
      <c r="A160" s="258"/>
      <c r="B160" s="258"/>
      <c r="C160" s="258"/>
      <c r="D160" s="258"/>
      <c r="E160" s="258"/>
      <c r="F160" s="259"/>
      <c r="G160" s="259"/>
      <c r="H160" s="259"/>
      <c r="I160" s="259"/>
      <c r="J160" s="258"/>
    </row>
    <row r="161" spans="1:10" ht="12.75" customHeight="1">
      <c r="A161" s="96"/>
      <c r="B161" s="97"/>
      <c r="E161" s="138"/>
      <c r="F161" s="64"/>
      <c r="G161" s="64"/>
      <c r="H161" s="64"/>
      <c r="I161" s="257"/>
      <c r="J161" s="216"/>
    </row>
    <row r="162" spans="1:10" ht="13.5" customHeight="1">
      <c r="A162" s="96"/>
      <c r="B162" s="97"/>
      <c r="C162" s="137"/>
      <c r="E162" s="138"/>
      <c r="G162" s="1"/>
      <c r="I162" s="64"/>
      <c r="J162" s="216"/>
    </row>
    <row r="163" spans="1:10" ht="15.75" customHeight="1">
      <c r="A163" s="21"/>
      <c r="B163" s="137"/>
      <c r="C163" s="140"/>
      <c r="D163" s="21"/>
      <c r="E163" s="139"/>
      <c r="F163" s="21"/>
      <c r="G163" s="21"/>
      <c r="H163" s="21"/>
      <c r="I163" s="21"/>
      <c r="J163" s="21"/>
    </row>
    <row r="164" spans="1:10" ht="15.75" customHeight="1">
      <c r="A164" s="21"/>
      <c r="B164" s="98"/>
      <c r="C164" s="21"/>
      <c r="D164" s="21"/>
      <c r="E164" s="139"/>
      <c r="F164" s="21"/>
      <c r="G164" s="21"/>
      <c r="H164" s="21"/>
      <c r="I164" s="21"/>
      <c r="J164" s="21"/>
    </row>
    <row r="165" spans="1:10" ht="12.75" customHeight="1">
      <c r="A165" s="21"/>
      <c r="B165" s="21"/>
      <c r="C165" s="21"/>
      <c r="D165" s="21"/>
      <c r="E165" s="139"/>
      <c r="F165" s="21"/>
      <c r="G165" s="21"/>
      <c r="H165" s="21"/>
      <c r="I165" s="21"/>
      <c r="J165" s="21"/>
    </row>
    <row r="166" spans="1:10" ht="12.75" customHeight="1">
      <c r="A166" s="21"/>
      <c r="B166" s="21"/>
      <c r="C166" s="21"/>
      <c r="D166" s="21"/>
      <c r="E166" s="139"/>
      <c r="F166" s="21"/>
      <c r="G166" s="21"/>
      <c r="H166" s="21"/>
      <c r="I166" s="21"/>
      <c r="J166" s="21"/>
    </row>
    <row r="167" spans="1:10" ht="12.75" customHeight="1">
      <c r="A167" s="21"/>
      <c r="B167" s="21"/>
      <c r="C167" s="21"/>
      <c r="D167" s="21"/>
      <c r="E167" s="139"/>
      <c r="F167" s="21"/>
      <c r="G167" s="21"/>
      <c r="H167" s="21"/>
      <c r="I167" s="21"/>
      <c r="J167" s="21"/>
    </row>
    <row r="168" spans="1:10" ht="15.75" customHeight="1">
      <c r="A168" s="289"/>
      <c r="B168" s="289"/>
      <c r="C168" s="21"/>
      <c r="D168" s="21"/>
      <c r="E168" s="139"/>
      <c r="F168" s="21"/>
      <c r="G168" s="21"/>
      <c r="H168" s="21"/>
      <c r="I168" s="21"/>
      <c r="J168" s="21"/>
    </row>
    <row r="169" spans="1:10" ht="15.75">
      <c r="A169" s="289"/>
      <c r="B169" s="289"/>
      <c r="E169" s="138"/>
      <c r="G169" s="1"/>
      <c r="I169" s="290"/>
      <c r="J169" s="290"/>
    </row>
    <row r="170" spans="1:10" ht="16.5" customHeight="1">
      <c r="E170" s="138" t="s">
        <v>46</v>
      </c>
      <c r="G170" s="1"/>
      <c r="I170" s="1"/>
      <c r="J170" s="275"/>
    </row>
  </sheetData>
  <mergeCells count="91">
    <mergeCell ref="B37:C37"/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  <mergeCell ref="B71:C71"/>
    <mergeCell ref="B75:C75"/>
    <mergeCell ref="B74:C74"/>
    <mergeCell ref="B69:C69"/>
    <mergeCell ref="B70:C70"/>
    <mergeCell ref="B72:C72"/>
    <mergeCell ref="B73:C73"/>
    <mergeCell ref="B52:C52"/>
    <mergeCell ref="B68:C68"/>
    <mergeCell ref="B87:C87"/>
    <mergeCell ref="B80:C80"/>
    <mergeCell ref="B76:C7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56:C56"/>
    <mergeCell ref="A2:J2"/>
    <mergeCell ref="A4:B4"/>
    <mergeCell ref="A6:B6"/>
    <mergeCell ref="A7:B7"/>
    <mergeCell ref="C4:J4"/>
    <mergeCell ref="C6:J6"/>
    <mergeCell ref="C7:J7"/>
    <mergeCell ref="A5:B5"/>
    <mergeCell ref="B120:C120"/>
    <mergeCell ref="B118:C118"/>
    <mergeCell ref="B114:C114"/>
    <mergeCell ref="B115:C115"/>
    <mergeCell ref="B116:C116"/>
    <mergeCell ref="B117:C117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0000000-0002-0000-0300-000003000000}">
      <formula1>AND(E89=0,E93=0,LEFT(B56,7)&lt;&gt;"Plug-in")</formula1>
    </dataValidation>
    <dataValidation type="custom" allowBlank="1" showInputMessage="1" showErrorMessage="1" sqref="E93" xr:uid="{00000000-0002-0000-0300-000004000000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00000000-0002-0000-0300-000005000000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00000000-0002-0000-0300-000006000000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00000000-0002-0000-0300-000007000000}"/>
    <dataValidation allowBlank="1" showInputMessage="1" showErrorMessage="1" prompt="1 if Hermatically Sealed Type_x000a_" sqref="E65" xr:uid="{00000000-0002-0000-0300-000008000000}"/>
    <dataValidation allowBlank="1" showInputMessage="1" showErrorMessage="1" prompt="1 if Conservator Type" sqref="E66" xr:uid="{00000000-0002-0000-0300-000009000000}"/>
    <dataValidation allowBlank="1" showInputMessage="1" showErrorMessage="1" prompt="1 if Hermatically Sealed Type" sqref="E67" xr:uid="{00000000-0002-0000-0300-00000A000000}"/>
    <dataValidation allowBlank="1" showInputMessage="1" showErrorMessage="1" prompt="1 if HV Link Box is there" sqref="E68" xr:uid="{00000000-0002-0000-0300-00000B000000}"/>
    <dataValidation allowBlank="1" showInputMessage="1" showErrorMessage="1" prompt="1 if Conservator Type. Used before Buchholz Relay." sqref="E69" xr:uid="{00000000-0002-0000-0300-00000C000000}"/>
    <dataValidation allowBlank="1" showInputMessage="1" showErrorMessage="1" prompt="2 if Conservator Type. Used as Filler/Drain Valves." sqref="E70" xr:uid="{00000000-0002-0000-0300-00000D000000}"/>
    <dataValidation allowBlank="1" showInputMessage="1" showErrorMessage="1" prompt="2 per Panel Type Radiator." sqref="E71" xr:uid="{00000000-0002-0000-0300-00000E000000}"/>
    <dataValidation allowBlank="1" showInputMessage="1" showErrorMessage="1" prompt="1 if Conservator Type. Used as conservator Drain valve" sqref="E72" xr:uid="{00000000-0002-0000-0300-00000F000000}"/>
  </dataValidations>
  <printOptions horizontalCentered="1" verticalCentered="1"/>
  <pageMargins left="0.35433070866141736" right="0.19685039370078741" top="0.27559055118110237" bottom="0.31496062992125984" header="0" footer="0"/>
  <pageSetup paperSize="9" scale="86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00000000-0002-0000-0300-00001000000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00000000-0002-0000-0300-000011000000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0000000-0002-0000-0300-000012000000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61"/>
  <sheetViews>
    <sheetView topLeftCell="A34" workbookViewId="0">
      <selection activeCell="G47" sqref="G47"/>
    </sheetView>
  </sheetViews>
  <sheetFormatPr defaultRowHeight="12.75"/>
  <cols>
    <col min="1" max="1" width="7.85546875" customWidth="1"/>
    <col min="2" max="2" width="16.85546875" customWidth="1"/>
    <col min="3" max="3" width="22.42578125" customWidth="1"/>
  </cols>
  <sheetData>
    <row r="2" spans="1:3" ht="13.15" customHeight="1">
      <c r="A2" s="446" t="s">
        <v>666</v>
      </c>
      <c r="B2" s="218" t="s">
        <v>667</v>
      </c>
      <c r="C2" s="218" t="s">
        <v>668</v>
      </c>
    </row>
    <row r="3" spans="1:3">
      <c r="A3" s="447"/>
      <c r="B3" s="218" t="s">
        <v>669</v>
      </c>
      <c r="C3" s="219" t="s">
        <v>670</v>
      </c>
    </row>
    <row r="4" spans="1:3">
      <c r="A4" s="447"/>
      <c r="B4" s="218" t="s">
        <v>671</v>
      </c>
      <c r="C4" s="219" t="s">
        <v>670</v>
      </c>
    </row>
    <row r="5" spans="1:3">
      <c r="A5" s="447"/>
      <c r="B5" s="218" t="s">
        <v>672</v>
      </c>
      <c r="C5" s="218" t="s">
        <v>670</v>
      </c>
    </row>
    <row r="6" spans="1:3">
      <c r="A6" s="447"/>
      <c r="B6" s="218" t="s">
        <v>673</v>
      </c>
      <c r="C6" s="219" t="s">
        <v>670</v>
      </c>
    </row>
    <row r="7" spans="1:3">
      <c r="A7" s="447"/>
      <c r="B7" s="218" t="s">
        <v>674</v>
      </c>
      <c r="C7" s="219" t="s">
        <v>670</v>
      </c>
    </row>
    <row r="8" spans="1:3">
      <c r="A8" s="447"/>
      <c r="B8" s="218" t="s">
        <v>675</v>
      </c>
      <c r="C8" s="219" t="s">
        <v>676</v>
      </c>
    </row>
    <row r="9" spans="1:3">
      <c r="A9" s="447"/>
      <c r="B9" s="218" t="s">
        <v>677</v>
      </c>
      <c r="C9" s="219" t="s">
        <v>676</v>
      </c>
    </row>
    <row r="10" spans="1:3">
      <c r="A10" s="447"/>
      <c r="B10" s="218" t="s">
        <v>678</v>
      </c>
      <c r="C10" s="218" t="s">
        <v>676</v>
      </c>
    </row>
    <row r="11" spans="1:3">
      <c r="A11" s="447"/>
      <c r="B11" s="218" t="s">
        <v>679</v>
      </c>
      <c r="C11" s="219" t="s">
        <v>676</v>
      </c>
    </row>
    <row r="12" spans="1:3">
      <c r="A12" s="447"/>
      <c r="B12" s="218" t="s">
        <v>680</v>
      </c>
      <c r="C12" s="219" t="s">
        <v>681</v>
      </c>
    </row>
    <row r="13" spans="1:3">
      <c r="A13" s="447"/>
      <c r="B13" s="218" t="s">
        <v>682</v>
      </c>
      <c r="C13" s="219" t="s">
        <v>681</v>
      </c>
    </row>
    <row r="14" spans="1:3">
      <c r="A14" s="447"/>
      <c r="B14" s="218" t="s">
        <v>683</v>
      </c>
      <c r="C14" s="219" t="s">
        <v>681</v>
      </c>
    </row>
    <row r="15" spans="1:3">
      <c r="A15" s="447"/>
      <c r="B15" s="218" t="s">
        <v>684</v>
      </c>
      <c r="C15" s="218" t="s">
        <v>681</v>
      </c>
    </row>
    <row r="16" spans="1:3">
      <c r="A16" s="447"/>
      <c r="B16" s="218" t="s">
        <v>685</v>
      </c>
      <c r="C16" s="219" t="s">
        <v>681</v>
      </c>
    </row>
    <row r="17" spans="1:3">
      <c r="A17" s="447"/>
      <c r="B17" s="218" t="s">
        <v>686</v>
      </c>
      <c r="C17" s="219" t="s">
        <v>687</v>
      </c>
    </row>
    <row r="18" spans="1:3">
      <c r="A18" s="447"/>
      <c r="B18" s="218" t="s">
        <v>688</v>
      </c>
      <c r="C18" s="219" t="s">
        <v>687</v>
      </c>
    </row>
    <row r="19" spans="1:3">
      <c r="A19" s="447"/>
      <c r="B19" s="218" t="s">
        <v>689</v>
      </c>
      <c r="C19" s="219" t="s">
        <v>687</v>
      </c>
    </row>
    <row r="20" spans="1:3">
      <c r="A20" s="447"/>
      <c r="B20" s="218" t="s">
        <v>690</v>
      </c>
      <c r="C20" s="218" t="s">
        <v>687</v>
      </c>
    </row>
    <row r="21" spans="1:3">
      <c r="A21" s="447"/>
      <c r="B21" s="218" t="s">
        <v>691</v>
      </c>
      <c r="C21" s="219" t="s">
        <v>687</v>
      </c>
    </row>
    <row r="22" spans="1:3">
      <c r="A22" s="447"/>
      <c r="B22" s="218" t="s">
        <v>692</v>
      </c>
      <c r="C22" s="219" t="s">
        <v>693</v>
      </c>
    </row>
    <row r="23" spans="1:3">
      <c r="A23" s="447"/>
      <c r="B23" s="218" t="s">
        <v>694</v>
      </c>
      <c r="C23" s="219" t="s">
        <v>693</v>
      </c>
    </row>
    <row r="24" spans="1:3">
      <c r="A24" s="447"/>
      <c r="B24" s="218" t="s">
        <v>695</v>
      </c>
      <c r="C24" s="219" t="s">
        <v>693</v>
      </c>
    </row>
    <row r="25" spans="1:3">
      <c r="A25" s="447"/>
      <c r="B25" s="218" t="s">
        <v>696</v>
      </c>
      <c r="C25" s="218" t="s">
        <v>697</v>
      </c>
    </row>
    <row r="26" spans="1:3">
      <c r="A26" s="447"/>
      <c r="B26" s="218" t="s">
        <v>698</v>
      </c>
      <c r="C26" s="219" t="s">
        <v>693</v>
      </c>
    </row>
    <row r="27" spans="1:3">
      <c r="A27" s="447"/>
      <c r="B27" s="218" t="s">
        <v>699</v>
      </c>
      <c r="C27" s="219" t="s">
        <v>697</v>
      </c>
    </row>
    <row r="28" spans="1:3">
      <c r="A28" s="447"/>
      <c r="B28" s="218" t="s">
        <v>700</v>
      </c>
      <c r="C28" s="219" t="s">
        <v>697</v>
      </c>
    </row>
    <row r="29" spans="1:3">
      <c r="A29" s="447"/>
      <c r="B29" s="218" t="s">
        <v>701</v>
      </c>
      <c r="C29" s="219" t="s">
        <v>697</v>
      </c>
    </row>
    <row r="30" spans="1:3">
      <c r="A30" s="447"/>
      <c r="B30" s="218" t="s">
        <v>702</v>
      </c>
      <c r="C30" s="218" t="s">
        <v>697</v>
      </c>
    </row>
    <row r="31" spans="1:3">
      <c r="A31" s="447"/>
      <c r="B31" s="218" t="s">
        <v>703</v>
      </c>
      <c r="C31" s="219" t="s">
        <v>697</v>
      </c>
    </row>
    <row r="32" spans="1:3">
      <c r="A32" s="448" t="s">
        <v>704</v>
      </c>
      <c r="B32" s="325" t="s">
        <v>705</v>
      </c>
      <c r="C32" s="326" t="s">
        <v>706</v>
      </c>
    </row>
    <row r="33" spans="1:3">
      <c r="A33" s="448"/>
      <c r="B33" s="325" t="s">
        <v>707</v>
      </c>
      <c r="C33" s="326" t="s">
        <v>706</v>
      </c>
    </row>
    <row r="34" spans="1:3">
      <c r="A34" s="448"/>
      <c r="B34" s="325" t="s">
        <v>708</v>
      </c>
      <c r="C34" s="326" t="s">
        <v>706</v>
      </c>
    </row>
    <row r="35" spans="1:3">
      <c r="A35" s="448"/>
      <c r="B35" s="325" t="s">
        <v>709</v>
      </c>
      <c r="C35" s="326" t="s">
        <v>706</v>
      </c>
    </row>
    <row r="36" spans="1:3">
      <c r="A36" s="448"/>
      <c r="B36" s="325" t="s">
        <v>710</v>
      </c>
      <c r="C36" s="326" t="s">
        <v>706</v>
      </c>
    </row>
    <row r="37" spans="1:3">
      <c r="A37" s="448"/>
      <c r="B37" s="325" t="s">
        <v>711</v>
      </c>
      <c r="C37" s="326" t="s">
        <v>706</v>
      </c>
    </row>
    <row r="38" spans="1:3">
      <c r="A38" s="448"/>
      <c r="B38" s="325" t="s">
        <v>712</v>
      </c>
      <c r="C38" s="326" t="s">
        <v>706</v>
      </c>
    </row>
    <row r="39" spans="1:3">
      <c r="A39" s="448"/>
      <c r="B39" s="325" t="s">
        <v>713</v>
      </c>
      <c r="C39" s="326" t="s">
        <v>706</v>
      </c>
    </row>
    <row r="40" spans="1:3">
      <c r="A40" s="448"/>
      <c r="B40" s="325" t="s">
        <v>714</v>
      </c>
      <c r="C40" s="325" t="s">
        <v>706</v>
      </c>
    </row>
    <row r="41" spans="1:3">
      <c r="A41" s="448"/>
      <c r="B41" s="325" t="s">
        <v>715</v>
      </c>
      <c r="C41" s="326" t="s">
        <v>706</v>
      </c>
    </row>
    <row r="42" spans="1:3">
      <c r="A42" s="448"/>
      <c r="B42" s="325" t="s">
        <v>716</v>
      </c>
      <c r="C42" s="326" t="s">
        <v>717</v>
      </c>
    </row>
    <row r="43" spans="1:3">
      <c r="A43" s="448"/>
      <c r="B43" s="325" t="s">
        <v>718</v>
      </c>
      <c r="C43" s="326" t="s">
        <v>717</v>
      </c>
    </row>
    <row r="44" spans="1:3">
      <c r="A44" s="448"/>
      <c r="B44" s="325" t="s">
        <v>719</v>
      </c>
      <c r="C44" s="326" t="s">
        <v>717</v>
      </c>
    </row>
    <row r="45" spans="1:3">
      <c r="A45" s="448"/>
      <c r="B45" s="325" t="s">
        <v>720</v>
      </c>
      <c r="C45" s="325" t="s">
        <v>717</v>
      </c>
    </row>
    <row r="46" spans="1:3">
      <c r="A46" s="448"/>
      <c r="B46" s="325" t="s">
        <v>721</v>
      </c>
      <c r="C46" s="326" t="s">
        <v>717</v>
      </c>
    </row>
    <row r="47" spans="1:3">
      <c r="A47" s="448"/>
      <c r="B47" s="325" t="s">
        <v>722</v>
      </c>
      <c r="C47" s="326" t="s">
        <v>717</v>
      </c>
    </row>
    <row r="48" spans="1:3">
      <c r="A48" s="448"/>
      <c r="B48" s="325" t="s">
        <v>723</v>
      </c>
      <c r="C48" s="326" t="s">
        <v>717</v>
      </c>
    </row>
    <row r="49" spans="1:3">
      <c r="A49" s="448"/>
      <c r="B49" s="325" t="s">
        <v>724</v>
      </c>
      <c r="C49" s="326" t="s">
        <v>717</v>
      </c>
    </row>
    <row r="50" spans="1:3">
      <c r="A50" s="448"/>
      <c r="B50" s="325" t="s">
        <v>725</v>
      </c>
      <c r="C50" s="325" t="s">
        <v>717</v>
      </c>
    </row>
    <row r="51" spans="1:3">
      <c r="A51" s="448"/>
      <c r="B51" s="325" t="s">
        <v>726</v>
      </c>
      <c r="C51" s="326" t="s">
        <v>717</v>
      </c>
    </row>
    <row r="52" spans="1:3">
      <c r="A52" s="448"/>
      <c r="B52" s="325" t="s">
        <v>727</v>
      </c>
      <c r="C52" s="326" t="s">
        <v>728</v>
      </c>
    </row>
    <row r="53" spans="1:3">
      <c r="A53" s="448"/>
      <c r="B53" s="325" t="s">
        <v>729</v>
      </c>
      <c r="C53" s="326" t="s">
        <v>728</v>
      </c>
    </row>
    <row r="54" spans="1:3">
      <c r="A54" s="448"/>
      <c r="B54" s="325" t="s">
        <v>730</v>
      </c>
      <c r="C54" s="326" t="s">
        <v>728</v>
      </c>
    </row>
    <row r="55" spans="1:3">
      <c r="A55" s="448"/>
      <c r="B55" s="325" t="s">
        <v>731</v>
      </c>
      <c r="C55" s="325" t="s">
        <v>732</v>
      </c>
    </row>
    <row r="56" spans="1:3">
      <c r="A56" s="448"/>
      <c r="B56" s="325" t="s">
        <v>733</v>
      </c>
      <c r="C56" s="326" t="s">
        <v>728</v>
      </c>
    </row>
    <row r="57" spans="1:3">
      <c r="A57" s="448"/>
      <c r="B57" s="325" t="s">
        <v>734</v>
      </c>
      <c r="C57" s="325" t="s">
        <v>732</v>
      </c>
    </row>
    <row r="58" spans="1:3">
      <c r="A58" s="448"/>
      <c r="B58" s="325" t="s">
        <v>735</v>
      </c>
      <c r="C58" s="325" t="s">
        <v>732</v>
      </c>
    </row>
    <row r="59" spans="1:3">
      <c r="A59" s="448"/>
      <c r="B59" s="325" t="s">
        <v>736</v>
      </c>
      <c r="C59" s="325" t="s">
        <v>732</v>
      </c>
    </row>
    <row r="60" spans="1:3">
      <c r="A60" s="448"/>
      <c r="B60" s="325" t="s">
        <v>737</v>
      </c>
      <c r="C60" s="325" t="s">
        <v>732</v>
      </c>
    </row>
    <row r="61" spans="1:3">
      <c r="A61" s="448"/>
      <c r="B61" s="325" t="s">
        <v>738</v>
      </c>
      <c r="C61" s="325" t="s">
        <v>732</v>
      </c>
    </row>
  </sheetData>
  <mergeCells count="2">
    <mergeCell ref="A2:A31"/>
    <mergeCell ref="A32:A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W63"/>
  <sheetViews>
    <sheetView zoomScaleNormal="100" workbookViewId="0">
      <selection activeCell="M38" sqref="M38"/>
    </sheetView>
  </sheetViews>
  <sheetFormatPr defaultColWidth="9.140625" defaultRowHeight="15" customHeight="1"/>
  <cols>
    <col min="2" max="2" width="18.140625" customWidth="1"/>
    <col min="3" max="3" width="7.5703125" customWidth="1"/>
    <col min="4" max="4" width="19.710937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2" max="12" width="14.5703125" customWidth="1"/>
    <col min="15" max="15" width="9.85546875" customWidth="1"/>
  </cols>
  <sheetData>
    <row r="1" spans="1:23" ht="15" customHeight="1">
      <c r="A1" s="530" t="s">
        <v>739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</row>
    <row r="2" spans="1:23" ht="15" customHeight="1">
      <c r="A2" s="12"/>
    </row>
    <row r="3" spans="1:23" ht="15" customHeight="1">
      <c r="A3" s="530" t="s">
        <v>740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</row>
    <row r="4" spans="1:23" ht="15" customHeight="1">
      <c r="A4" s="328"/>
      <c r="B4" s="328"/>
      <c r="C4" s="328"/>
      <c r="D4" s="328"/>
      <c r="E4" s="13"/>
      <c r="F4" s="13"/>
      <c r="G4" s="13"/>
      <c r="H4" s="13"/>
      <c r="I4" s="360"/>
      <c r="J4" s="328"/>
      <c r="K4" s="328"/>
    </row>
    <row r="5" spans="1:23" ht="3" customHeight="1" thickBot="1">
      <c r="A5" s="13"/>
      <c r="C5" s="82"/>
      <c r="D5" s="82"/>
      <c r="E5" s="82"/>
      <c r="F5" s="82"/>
      <c r="G5" s="82"/>
      <c r="H5" s="82"/>
      <c r="I5" s="82"/>
      <c r="J5" s="82"/>
      <c r="K5" s="82"/>
    </row>
    <row r="6" spans="1:23" ht="15" customHeight="1">
      <c r="A6" s="531" t="s">
        <v>331</v>
      </c>
      <c r="B6" s="532"/>
      <c r="C6" s="535" t="s">
        <v>988</v>
      </c>
      <c r="D6" s="535"/>
      <c r="E6" s="535"/>
      <c r="F6" s="535"/>
      <c r="G6" s="535"/>
      <c r="H6" s="535"/>
      <c r="I6" s="535"/>
      <c r="J6" s="535"/>
      <c r="K6" s="536"/>
      <c r="M6" s="1"/>
      <c r="O6" s="13"/>
      <c r="P6" s="13"/>
      <c r="Q6" s="13"/>
      <c r="R6" s="13"/>
      <c r="S6" s="13"/>
      <c r="T6" s="13"/>
      <c r="U6" s="13"/>
      <c r="V6" s="13"/>
      <c r="W6" s="13"/>
    </row>
    <row r="7" spans="1:23" ht="15" customHeight="1">
      <c r="A7" s="509" t="s">
        <v>741</v>
      </c>
      <c r="B7" s="510"/>
      <c r="C7" s="528"/>
      <c r="D7" s="528"/>
      <c r="E7" s="528"/>
      <c r="F7" s="528"/>
      <c r="G7" s="528"/>
      <c r="H7" s="528"/>
      <c r="I7" s="528"/>
      <c r="J7" s="528"/>
      <c r="K7" s="529"/>
      <c r="M7" s="1"/>
    </row>
    <row r="8" spans="1:23" ht="15" customHeight="1" thickBot="1">
      <c r="A8" s="533" t="s">
        <v>742</v>
      </c>
      <c r="B8" s="534"/>
      <c r="C8" s="526"/>
      <c r="D8" s="527"/>
      <c r="E8" s="205" t="s">
        <v>743</v>
      </c>
      <c r="F8" s="539" t="str">
        <f ca="1">Q!B132</f>
        <v>400033415</v>
      </c>
      <c r="G8" s="539"/>
      <c r="H8" s="539"/>
      <c r="I8" s="204" t="s">
        <v>744</v>
      </c>
      <c r="J8" s="537">
        <f ca="1">TODAY()</f>
        <v>45096</v>
      </c>
      <c r="K8" s="538"/>
      <c r="O8" s="1"/>
      <c r="P8" s="8"/>
    </row>
    <row r="9" spans="1:23" ht="9" customHeight="1" thickBot="1">
      <c r="A9" s="14"/>
    </row>
    <row r="10" spans="1:23" ht="30" customHeight="1" thickBot="1">
      <c r="A10" s="543" t="s">
        <v>745</v>
      </c>
      <c r="B10" s="494"/>
      <c r="C10" s="494"/>
      <c r="D10" s="494"/>
      <c r="E10" s="202" t="s">
        <v>613</v>
      </c>
      <c r="F10" s="494" t="s">
        <v>746</v>
      </c>
      <c r="G10" s="494"/>
      <c r="H10" s="494" t="s">
        <v>747</v>
      </c>
      <c r="I10" s="494"/>
      <c r="J10" s="494" t="s">
        <v>748</v>
      </c>
      <c r="K10" s="495"/>
    </row>
    <row r="11" spans="1:23" ht="15" customHeight="1">
      <c r="A11" s="496" t="s">
        <v>749</v>
      </c>
      <c r="B11" s="497"/>
      <c r="C11" s="497"/>
      <c r="D11" s="497"/>
      <c r="E11" s="215" t="s">
        <v>241</v>
      </c>
      <c r="F11" s="498">
        <f ca="1">IF(M11=0,Q!B46,M11)</f>
        <v>4000</v>
      </c>
      <c r="G11" s="498"/>
      <c r="H11" s="498">
        <f ca="1">F11</f>
        <v>4000</v>
      </c>
      <c r="I11" s="498"/>
      <c r="J11" s="499"/>
      <c r="K11" s="500"/>
    </row>
    <row r="12" spans="1:23" ht="15" customHeight="1">
      <c r="A12" s="501" t="s">
        <v>750</v>
      </c>
      <c r="B12" s="502"/>
      <c r="C12" s="502"/>
      <c r="D12" s="502"/>
      <c r="E12" s="262" t="s">
        <v>628</v>
      </c>
      <c r="F12" s="458">
        <v>1</v>
      </c>
      <c r="G12" s="458"/>
      <c r="H12" s="458">
        <f>F12</f>
        <v>1</v>
      </c>
      <c r="I12" s="458"/>
      <c r="J12" s="459"/>
      <c r="K12" s="460"/>
    </row>
    <row r="13" spans="1:23" ht="15" customHeight="1">
      <c r="A13" s="501" t="s">
        <v>751</v>
      </c>
      <c r="B13" s="502"/>
      <c r="C13" s="502"/>
      <c r="D13" s="502"/>
      <c r="E13" s="262" t="s">
        <v>752</v>
      </c>
      <c r="F13" s="458" t="str">
        <f ca="1">H13</f>
        <v>50</v>
      </c>
      <c r="G13" s="458"/>
      <c r="H13" s="458" t="str">
        <f ca="1">Q!B60</f>
        <v>50</v>
      </c>
      <c r="I13" s="458"/>
      <c r="J13" s="459"/>
      <c r="K13" s="460"/>
    </row>
    <row r="14" spans="1:23" ht="15" customHeight="1">
      <c r="A14" s="501" t="s">
        <v>753</v>
      </c>
      <c r="B14" s="502"/>
      <c r="C14" s="502"/>
      <c r="D14" s="502"/>
      <c r="E14" s="262"/>
      <c r="F14" s="458">
        <f ca="1">H14</f>
        <v>3</v>
      </c>
      <c r="G14" s="458"/>
      <c r="H14" s="458">
        <f ca="1">Q!B61</f>
        <v>3</v>
      </c>
      <c r="I14" s="458"/>
      <c r="J14" s="459"/>
      <c r="K14" s="460"/>
    </row>
    <row r="15" spans="1:23" ht="15" customHeight="1">
      <c r="A15" s="503" t="s">
        <v>754</v>
      </c>
      <c r="B15" s="504"/>
      <c r="C15" s="504"/>
      <c r="D15" s="504"/>
      <c r="E15" s="262" t="s">
        <v>755</v>
      </c>
      <c r="F15" s="458">
        <v>11000</v>
      </c>
      <c r="G15" s="458"/>
      <c r="H15" s="458">
        <f>F15</f>
        <v>11000</v>
      </c>
      <c r="I15" s="458"/>
      <c r="J15" s="474"/>
      <c r="K15" s="475"/>
    </row>
    <row r="16" spans="1:23" ht="15" customHeight="1">
      <c r="A16" s="489" t="s">
        <v>756</v>
      </c>
      <c r="B16" s="490"/>
      <c r="C16" s="490"/>
      <c r="D16" s="214">
        <f ca="1">Q!D66</f>
        <v>1</v>
      </c>
      <c r="E16" s="262"/>
      <c r="F16" s="491"/>
      <c r="G16" s="491"/>
      <c r="H16" s="488" t="str">
        <f ca="1">Q!B66</f>
        <v>5%</v>
      </c>
      <c r="I16" s="488"/>
      <c r="J16" s="492"/>
      <c r="K16" s="493"/>
    </row>
    <row r="17" spans="1:17" ht="15" customHeight="1">
      <c r="A17" s="486">
        <f ca="1">Q!D67</f>
        <v>2</v>
      </c>
      <c r="B17" s="487"/>
      <c r="C17" s="487"/>
      <c r="D17" s="487"/>
      <c r="E17" s="262"/>
      <c r="F17" s="458"/>
      <c r="G17" s="458"/>
      <c r="H17" s="488" t="str">
        <f ca="1">Q!B67</f>
        <v>2.5%</v>
      </c>
      <c r="I17" s="488"/>
      <c r="J17" s="459"/>
      <c r="K17" s="460"/>
    </row>
    <row r="18" spans="1:17" ht="15" customHeight="1">
      <c r="A18" s="486">
        <f ca="1">Q!D68</f>
        <v>3</v>
      </c>
      <c r="B18" s="487"/>
      <c r="C18" s="487"/>
      <c r="D18" s="487"/>
      <c r="E18" s="262"/>
      <c r="F18" s="458"/>
      <c r="G18" s="458"/>
      <c r="H18" s="488" t="str">
        <f ca="1">Q!B68</f>
        <v>0%</v>
      </c>
      <c r="I18" s="488"/>
      <c r="J18" s="459"/>
      <c r="K18" s="460"/>
    </row>
    <row r="19" spans="1:17" ht="15" customHeight="1">
      <c r="A19" s="486">
        <f ca="1">Q!D69</f>
        <v>4</v>
      </c>
      <c r="B19" s="487"/>
      <c r="C19" s="487"/>
      <c r="D19" s="487"/>
      <c r="E19" s="262"/>
      <c r="F19" s="458"/>
      <c r="G19" s="458"/>
      <c r="H19" s="488" t="str">
        <f ca="1">Q!B69</f>
        <v>-2.5%</v>
      </c>
      <c r="I19" s="488"/>
      <c r="J19" s="459"/>
      <c r="K19" s="460"/>
    </row>
    <row r="20" spans="1:17" ht="15" customHeight="1">
      <c r="A20" s="486">
        <f ca="1">Q!D70</f>
        <v>5</v>
      </c>
      <c r="B20" s="487"/>
      <c r="C20" s="487"/>
      <c r="D20" s="487"/>
      <c r="E20" s="262"/>
      <c r="F20" s="458"/>
      <c r="G20" s="458"/>
      <c r="H20" s="488" t="str">
        <f ca="1">Q!B70</f>
        <v>-5%</v>
      </c>
      <c r="I20" s="488"/>
      <c r="J20" s="459"/>
      <c r="K20" s="460"/>
    </row>
    <row r="21" spans="1:17" ht="15" customHeight="1">
      <c r="A21" s="449" t="s">
        <v>757</v>
      </c>
      <c r="B21" s="450"/>
      <c r="C21" s="450"/>
      <c r="D21" s="481"/>
      <c r="E21" s="263" t="s">
        <v>755</v>
      </c>
      <c r="F21" s="458">
        <v>420</v>
      </c>
      <c r="G21" s="458"/>
      <c r="H21" s="458">
        <f>F21</f>
        <v>420</v>
      </c>
      <c r="I21" s="458"/>
      <c r="J21" s="459"/>
      <c r="K21" s="460"/>
    </row>
    <row r="22" spans="1:17" ht="15" customHeight="1">
      <c r="A22" s="449" t="s">
        <v>758</v>
      </c>
      <c r="B22" s="450"/>
      <c r="C22" s="450"/>
      <c r="D22" s="481"/>
      <c r="E22" s="263"/>
      <c r="F22" s="458" t="str">
        <f ca="1">H22</f>
        <v>Dyn11</v>
      </c>
      <c r="G22" s="458"/>
      <c r="H22" s="458" t="str">
        <f ca="1">Q!B79</f>
        <v>Dyn11</v>
      </c>
      <c r="I22" s="458"/>
      <c r="J22" s="459"/>
      <c r="K22" s="460"/>
    </row>
    <row r="23" spans="1:17" ht="15" customHeight="1">
      <c r="A23" s="461" t="s">
        <v>759</v>
      </c>
      <c r="B23" s="462"/>
      <c r="C23" s="462"/>
      <c r="D23" s="463"/>
      <c r="E23" s="263" t="s">
        <v>760</v>
      </c>
      <c r="F23" s="464" t="s">
        <v>989</v>
      </c>
      <c r="G23" s="465"/>
      <c r="H23" s="464" t="s">
        <v>989</v>
      </c>
      <c r="I23" s="465"/>
      <c r="J23" s="464"/>
      <c r="K23" s="466"/>
      <c r="N23" s="276" t="s">
        <v>761</v>
      </c>
      <c r="O23" s="218">
        <f ca="1">IF(AND(Q!C312=200,Q!B331=1),1,0)</f>
        <v>0</v>
      </c>
      <c r="P23" s="276" t="s">
        <v>762</v>
      </c>
      <c r="Q23" s="218" t="s">
        <v>763</v>
      </c>
    </row>
    <row r="24" spans="1:17" ht="15" customHeight="1">
      <c r="A24" s="461" t="s">
        <v>764</v>
      </c>
      <c r="B24" s="462"/>
      <c r="C24" s="462"/>
      <c r="D24" s="463"/>
      <c r="E24" s="263" t="s">
        <v>760</v>
      </c>
      <c r="F24" s="464" t="s">
        <v>990</v>
      </c>
      <c r="G24" s="465"/>
      <c r="H24" s="464" t="str">
        <f ca="1">IF(Q29="",VLOOKUP(1,O23:Q28,3,FALSE),Q29)</f>
        <v>70 / 3</v>
      </c>
      <c r="I24" s="465"/>
      <c r="J24" s="464"/>
      <c r="K24" s="466"/>
      <c r="N24" s="276" t="s">
        <v>761</v>
      </c>
      <c r="O24" s="218">
        <f ca="1">IF(AND(Q!C312=170,Q!B331=1),1,0)</f>
        <v>1</v>
      </c>
      <c r="P24" s="276" t="s">
        <v>765</v>
      </c>
      <c r="Q24" s="218" t="s">
        <v>763</v>
      </c>
    </row>
    <row r="25" spans="1:17" ht="15" customHeight="1">
      <c r="A25" s="461" t="s">
        <v>766</v>
      </c>
      <c r="B25" s="462"/>
      <c r="C25" s="462"/>
      <c r="D25" s="463"/>
      <c r="E25" s="263"/>
      <c r="F25" s="464" t="s">
        <v>767</v>
      </c>
      <c r="G25" s="465"/>
      <c r="H25" s="464" t="str">
        <f>F25</f>
        <v>Cu/Cu</v>
      </c>
      <c r="I25" s="465"/>
      <c r="J25" s="464"/>
      <c r="K25" s="466"/>
      <c r="N25" s="276"/>
      <c r="O25" s="218"/>
      <c r="P25" s="276"/>
      <c r="Q25" s="218"/>
    </row>
    <row r="26" spans="1:17" ht="15" customHeight="1">
      <c r="A26" s="461" t="s">
        <v>768</v>
      </c>
      <c r="B26" s="462"/>
      <c r="C26" s="462" t="s">
        <v>769</v>
      </c>
      <c r="D26" s="463"/>
      <c r="E26" s="263" t="s">
        <v>770</v>
      </c>
      <c r="F26" s="458">
        <v>50</v>
      </c>
      <c r="G26" s="458"/>
      <c r="H26" s="458">
        <v>50</v>
      </c>
      <c r="I26" s="458"/>
      <c r="J26" s="459"/>
      <c r="K26" s="460"/>
      <c r="N26" s="276" t="s">
        <v>771</v>
      </c>
      <c r="O26" s="218">
        <f ca="1">IF(AND(Q!C312=95,Q!B331=1),1,0)</f>
        <v>0</v>
      </c>
      <c r="P26" s="276" t="s">
        <v>772</v>
      </c>
      <c r="Q26" s="218" t="s">
        <v>773</v>
      </c>
    </row>
    <row r="27" spans="1:17" ht="15" customHeight="1">
      <c r="A27" s="484" t="s">
        <v>774</v>
      </c>
      <c r="B27" s="485"/>
      <c r="C27" s="450" t="s">
        <v>775</v>
      </c>
      <c r="D27" s="481"/>
      <c r="E27" s="263" t="s">
        <v>770</v>
      </c>
      <c r="F27" s="458">
        <v>45</v>
      </c>
      <c r="G27" s="458"/>
      <c r="H27" s="458">
        <f ca="1">Q!B82</f>
        <v>55</v>
      </c>
      <c r="I27" s="458"/>
      <c r="J27" s="459"/>
      <c r="K27" s="460"/>
      <c r="N27" s="276" t="s">
        <v>776</v>
      </c>
      <c r="O27" s="218">
        <f ca="1">IF(AND(Q!C312=75,Q!B331=1),1,0)</f>
        <v>0</v>
      </c>
      <c r="P27" s="276" t="s">
        <v>777</v>
      </c>
      <c r="Q27" s="218" t="s">
        <v>773</v>
      </c>
    </row>
    <row r="28" spans="1:17" ht="15" customHeight="1">
      <c r="A28" s="449" t="s">
        <v>778</v>
      </c>
      <c r="B28" s="450"/>
      <c r="C28" s="450"/>
      <c r="D28" s="481"/>
      <c r="E28" s="263" t="s">
        <v>616</v>
      </c>
      <c r="F28" s="458"/>
      <c r="G28" s="458"/>
      <c r="H28" s="483">
        <v>98.5</v>
      </c>
      <c r="I28" s="483"/>
      <c r="J28" s="459"/>
      <c r="K28" s="460"/>
      <c r="N28" s="276" t="s">
        <v>776</v>
      </c>
      <c r="O28" s="218">
        <f ca="1">IF(AND(Q!C312=60,Q!B331=1),1,0)</f>
        <v>0</v>
      </c>
      <c r="P28" s="276" t="s">
        <v>779</v>
      </c>
      <c r="Q28" s="218" t="s">
        <v>780</v>
      </c>
    </row>
    <row r="29" spans="1:17" ht="15" customHeight="1">
      <c r="A29" s="449" t="s">
        <v>781</v>
      </c>
      <c r="B29" s="450"/>
      <c r="C29" s="450"/>
      <c r="D29" s="481"/>
      <c r="E29" s="263" t="s">
        <v>616</v>
      </c>
      <c r="F29" s="458"/>
      <c r="G29" s="458"/>
      <c r="H29" s="483">
        <v>3.96</v>
      </c>
      <c r="I29" s="483"/>
      <c r="J29" s="459"/>
      <c r="K29" s="460"/>
      <c r="M29" s="16"/>
      <c r="N29" s="218" t="s">
        <v>782</v>
      </c>
      <c r="O29" s="218"/>
      <c r="P29" s="276"/>
      <c r="Q29" s="245"/>
    </row>
    <row r="30" spans="1:17" ht="15" customHeight="1">
      <c r="A30" s="449" t="s">
        <v>783</v>
      </c>
      <c r="B30" s="450"/>
      <c r="C30" s="450"/>
      <c r="D30" s="481"/>
      <c r="E30" s="263" t="s">
        <v>616</v>
      </c>
      <c r="F30" s="458"/>
      <c r="G30" s="458"/>
      <c r="H30" s="483">
        <v>0.51</v>
      </c>
      <c r="I30" s="483"/>
      <c r="J30" s="474" t="s">
        <v>784</v>
      </c>
      <c r="K30" s="475"/>
    </row>
    <row r="31" spans="1:17" ht="15" customHeight="1">
      <c r="A31" s="449" t="s">
        <v>785</v>
      </c>
      <c r="B31" s="450"/>
      <c r="C31" s="450"/>
      <c r="D31" s="481"/>
      <c r="E31" s="263"/>
      <c r="F31" s="458" t="s">
        <v>786</v>
      </c>
      <c r="G31" s="458"/>
      <c r="H31" s="458" t="s">
        <v>786</v>
      </c>
      <c r="I31" s="458"/>
      <c r="J31" s="459"/>
      <c r="K31" s="460"/>
    </row>
    <row r="32" spans="1:17" ht="15" customHeight="1">
      <c r="A32" s="449" t="s">
        <v>787</v>
      </c>
      <c r="B32" s="450"/>
      <c r="C32" s="450"/>
      <c r="D32" s="481"/>
      <c r="E32" s="263" t="s">
        <v>788</v>
      </c>
      <c r="F32" s="458">
        <v>1200</v>
      </c>
      <c r="G32" s="458"/>
      <c r="H32" s="482">
        <v>695</v>
      </c>
      <c r="I32" s="482"/>
      <c r="J32" s="474" t="s">
        <v>784</v>
      </c>
      <c r="K32" s="475"/>
    </row>
    <row r="33" spans="1:21" ht="15" customHeight="1">
      <c r="A33" s="449" t="s">
        <v>789</v>
      </c>
      <c r="B33" s="450"/>
      <c r="C33" s="450"/>
      <c r="D33" s="481"/>
      <c r="E33" s="263" t="s">
        <v>788</v>
      </c>
      <c r="F33" s="458">
        <v>10000</v>
      </c>
      <c r="G33" s="458"/>
      <c r="H33" s="482">
        <v>5394</v>
      </c>
      <c r="I33" s="482"/>
      <c r="J33" s="474" t="s">
        <v>784</v>
      </c>
      <c r="K33" s="475"/>
    </row>
    <row r="34" spans="1:21" ht="15" customHeight="1">
      <c r="A34" s="449" t="s">
        <v>790</v>
      </c>
      <c r="B34" s="450"/>
      <c r="C34" s="450"/>
      <c r="D34" s="481"/>
      <c r="E34" s="263" t="s">
        <v>616</v>
      </c>
      <c r="F34" s="458" t="s">
        <v>991</v>
      </c>
      <c r="G34" s="458"/>
      <c r="H34" s="483">
        <v>5</v>
      </c>
      <c r="I34" s="483"/>
      <c r="J34" s="474" t="s">
        <v>784</v>
      </c>
      <c r="K34" s="475"/>
    </row>
    <row r="35" spans="1:21" ht="15" customHeight="1">
      <c r="A35" s="449" t="s">
        <v>791</v>
      </c>
      <c r="B35" s="450"/>
      <c r="C35" s="450"/>
      <c r="D35" s="481"/>
      <c r="E35" s="263" t="s">
        <v>792</v>
      </c>
      <c r="F35" s="458"/>
      <c r="G35" s="458"/>
      <c r="H35" s="458">
        <f ca="1">Q!B87</f>
        <v>59</v>
      </c>
      <c r="I35" s="458"/>
      <c r="J35" s="459"/>
      <c r="K35" s="460"/>
    </row>
    <row r="36" spans="1:21" ht="15" customHeight="1">
      <c r="A36" s="469" t="s">
        <v>793</v>
      </c>
      <c r="B36" s="470"/>
      <c r="C36" s="470"/>
      <c r="D36" s="470"/>
      <c r="E36" s="262"/>
      <c r="F36" s="458"/>
      <c r="G36" s="458"/>
      <c r="H36" s="476"/>
      <c r="I36" s="477"/>
      <c r="J36" s="459"/>
      <c r="K36" s="460"/>
      <c r="M36" s="416"/>
    </row>
    <row r="37" spans="1:21" ht="15" customHeight="1">
      <c r="A37" s="471"/>
      <c r="B37" s="472"/>
      <c r="C37" s="567" t="s">
        <v>314</v>
      </c>
      <c r="D37" s="568"/>
      <c r="E37" s="262" t="s">
        <v>794</v>
      </c>
      <c r="F37" s="464">
        <v>1260</v>
      </c>
      <c r="G37" s="465"/>
      <c r="H37" s="458">
        <v>1479</v>
      </c>
      <c r="I37" s="458"/>
      <c r="J37" s="453" t="s">
        <v>795</v>
      </c>
      <c r="K37" s="454"/>
      <c r="M37" s="416"/>
    </row>
    <row r="38" spans="1:21" ht="15" customHeight="1">
      <c r="A38" s="471"/>
      <c r="B38" s="472"/>
      <c r="C38" s="567" t="s">
        <v>315</v>
      </c>
      <c r="D38" s="568"/>
      <c r="E38" s="262" t="s">
        <v>794</v>
      </c>
      <c r="F38" s="458">
        <v>1000</v>
      </c>
      <c r="G38" s="458"/>
      <c r="H38" s="458">
        <v>1000</v>
      </c>
      <c r="I38" s="458"/>
      <c r="J38" s="453" t="s">
        <v>795</v>
      </c>
      <c r="K38" s="454"/>
      <c r="M38" s="416"/>
    </row>
    <row r="39" spans="1:21" ht="15" customHeight="1">
      <c r="A39" s="471"/>
      <c r="B39" s="472"/>
      <c r="C39" s="565" t="s">
        <v>316</v>
      </c>
      <c r="D39" s="566"/>
      <c r="E39" s="262" t="s">
        <v>794</v>
      </c>
      <c r="F39" s="458">
        <v>1210</v>
      </c>
      <c r="G39" s="458"/>
      <c r="H39" s="458">
        <v>1625</v>
      </c>
      <c r="I39" s="458"/>
      <c r="J39" s="453" t="s">
        <v>795</v>
      </c>
      <c r="K39" s="454"/>
      <c r="M39" s="416"/>
    </row>
    <row r="40" spans="1:21" ht="15" customHeight="1">
      <c r="A40" s="449" t="s">
        <v>796</v>
      </c>
      <c r="B40" s="450"/>
      <c r="C40" s="450"/>
      <c r="D40" s="481"/>
      <c r="E40" s="263" t="s">
        <v>619</v>
      </c>
      <c r="F40" s="458">
        <v>1310</v>
      </c>
      <c r="G40" s="458"/>
      <c r="H40" s="458">
        <v>1730</v>
      </c>
      <c r="I40" s="458"/>
      <c r="J40" s="453" t="s">
        <v>795</v>
      </c>
      <c r="K40" s="454"/>
    </row>
    <row r="41" spans="1:21" ht="15" customHeight="1">
      <c r="A41" s="449" t="s">
        <v>797</v>
      </c>
      <c r="B41" s="450"/>
      <c r="C41" s="450"/>
      <c r="D41" s="481"/>
      <c r="E41" s="263" t="s">
        <v>619</v>
      </c>
      <c r="F41" s="464">
        <v>250</v>
      </c>
      <c r="G41" s="465"/>
      <c r="H41" s="464">
        <v>395</v>
      </c>
      <c r="I41" s="465"/>
      <c r="J41" s="453" t="s">
        <v>795</v>
      </c>
      <c r="K41" s="454"/>
    </row>
    <row r="42" spans="1:21" ht="15" customHeight="1">
      <c r="A42" s="449" t="s">
        <v>798</v>
      </c>
      <c r="B42" s="450"/>
      <c r="C42" s="450"/>
      <c r="D42" s="481"/>
      <c r="E42" s="263" t="s">
        <v>619</v>
      </c>
      <c r="F42" s="464"/>
      <c r="G42" s="465"/>
      <c r="H42" s="464"/>
      <c r="I42" s="465"/>
      <c r="J42" s="453" t="s">
        <v>795</v>
      </c>
      <c r="K42" s="454"/>
    </row>
    <row r="43" spans="1:21" ht="15" customHeight="1">
      <c r="A43" s="455" t="s">
        <v>799</v>
      </c>
      <c r="B43" s="456"/>
      <c r="C43" s="456"/>
      <c r="D43" s="457"/>
      <c r="E43" s="263"/>
      <c r="F43" s="464"/>
      <c r="G43" s="465"/>
      <c r="H43" s="464" t="s">
        <v>240</v>
      </c>
      <c r="I43" s="465"/>
      <c r="J43" s="453"/>
      <c r="K43" s="454"/>
      <c r="L43" s="13" t="s">
        <v>239</v>
      </c>
      <c r="M43" s="13"/>
      <c r="N43" s="13"/>
      <c r="O43" s="13"/>
      <c r="P43" s="13"/>
    </row>
    <row r="44" spans="1:21" ht="15" customHeight="1">
      <c r="A44" s="501" t="s">
        <v>800</v>
      </c>
      <c r="B44" s="502"/>
      <c r="C44" s="502"/>
      <c r="D44" s="502"/>
      <c r="E44" s="263"/>
      <c r="F44" s="458"/>
      <c r="G44" s="458"/>
      <c r="H44" s="458" t="s">
        <v>240</v>
      </c>
      <c r="I44" s="458"/>
      <c r="J44" s="458"/>
      <c r="K44" s="473"/>
      <c r="L44" s="13" t="s">
        <v>240</v>
      </c>
      <c r="M44" s="13"/>
      <c r="N44" s="13"/>
      <c r="O44" s="13"/>
      <c r="P44" s="13"/>
    </row>
    <row r="45" spans="1:21" ht="15" customHeight="1">
      <c r="A45" s="542" t="s">
        <v>801</v>
      </c>
      <c r="B45" s="451"/>
      <c r="C45" s="451"/>
      <c r="D45" s="452"/>
      <c r="E45" s="263"/>
      <c r="F45" s="453" t="s">
        <v>802</v>
      </c>
      <c r="G45" s="478"/>
      <c r="H45" s="453" t="s">
        <v>802</v>
      </c>
      <c r="I45" s="478"/>
      <c r="J45" s="464"/>
      <c r="K45" s="466"/>
      <c r="L45" s="13" t="s">
        <v>803</v>
      </c>
      <c r="M45" s="13" t="s">
        <v>802</v>
      </c>
      <c r="N45" s="13"/>
      <c r="O45" s="13" t="s">
        <v>804</v>
      </c>
      <c r="P45" s="13"/>
      <c r="R45" s="16" t="s">
        <v>805</v>
      </c>
      <c r="S45" s="16" t="s">
        <v>806</v>
      </c>
      <c r="U45" s="16" t="s">
        <v>807</v>
      </c>
    </row>
    <row r="46" spans="1:21" ht="15" customHeight="1">
      <c r="A46" s="449" t="s">
        <v>808</v>
      </c>
      <c r="B46" s="450"/>
      <c r="C46" s="450"/>
      <c r="D46" s="481"/>
      <c r="E46" s="263"/>
      <c r="F46" s="467" t="s">
        <v>809</v>
      </c>
      <c r="G46" s="468"/>
      <c r="H46" s="467" t="s">
        <v>809</v>
      </c>
      <c r="I46" s="468"/>
      <c r="J46" s="474" t="s">
        <v>810</v>
      </c>
      <c r="K46" s="475"/>
      <c r="L46" s="13"/>
      <c r="M46" s="13" t="s">
        <v>298</v>
      </c>
      <c r="N46" s="13"/>
      <c r="O46" s="13" t="s">
        <v>811</v>
      </c>
      <c r="P46" s="13"/>
      <c r="R46" s="16" t="s">
        <v>812</v>
      </c>
      <c r="S46" s="16" t="s">
        <v>813</v>
      </c>
      <c r="U46" s="16" t="s">
        <v>814</v>
      </c>
    </row>
    <row r="47" spans="1:21" ht="15" customHeight="1">
      <c r="A47" s="449" t="s">
        <v>815</v>
      </c>
      <c r="B47" s="450"/>
      <c r="C47" s="450"/>
      <c r="D47" s="481"/>
      <c r="E47" s="263"/>
      <c r="F47" s="464" t="s">
        <v>992</v>
      </c>
      <c r="G47" s="465"/>
      <c r="H47" s="479" t="s">
        <v>819</v>
      </c>
      <c r="I47" s="480"/>
      <c r="J47" s="453" t="str">
        <f>VLOOKUP(H47,R45:S49,2,FALSE)</f>
        <v>Cement Grey</v>
      </c>
      <c r="K47" s="454"/>
      <c r="L47" s="13"/>
      <c r="N47" s="13"/>
      <c r="O47" s="13" t="s">
        <v>809</v>
      </c>
      <c r="P47" s="13"/>
      <c r="R47" s="16" t="s">
        <v>816</v>
      </c>
      <c r="S47" s="16" t="s">
        <v>817</v>
      </c>
      <c r="U47" s="16" t="s">
        <v>810</v>
      </c>
    </row>
    <row r="48" spans="1:21" ht="15" customHeight="1">
      <c r="A48" s="455" t="s">
        <v>818</v>
      </c>
      <c r="B48" s="456"/>
      <c r="C48" s="456"/>
      <c r="D48" s="457"/>
      <c r="E48" s="263"/>
      <c r="F48" s="458"/>
      <c r="G48" s="458"/>
      <c r="H48" s="458"/>
      <c r="I48" s="458"/>
      <c r="J48" s="459"/>
      <c r="K48" s="460"/>
      <c r="R48" s="16" t="s">
        <v>819</v>
      </c>
      <c r="S48" s="16" t="s">
        <v>820</v>
      </c>
      <c r="U48" s="16" t="s">
        <v>821</v>
      </c>
    </row>
    <row r="49" spans="1:21" ht="15" customHeight="1">
      <c r="A49" s="471"/>
      <c r="B49" s="472"/>
      <c r="C49" s="567" t="s">
        <v>822</v>
      </c>
      <c r="D49" s="568"/>
      <c r="E49" s="263" t="s">
        <v>770</v>
      </c>
      <c r="F49" s="458">
        <v>55</v>
      </c>
      <c r="G49" s="458"/>
      <c r="H49" s="458"/>
      <c r="I49" s="458"/>
      <c r="J49" s="459"/>
      <c r="K49" s="460"/>
      <c r="R49" s="16" t="s">
        <v>823</v>
      </c>
      <c r="S49" s="16" t="s">
        <v>824</v>
      </c>
      <c r="U49" s="16" t="s">
        <v>825</v>
      </c>
    </row>
    <row r="50" spans="1:21" ht="15" customHeight="1">
      <c r="A50" s="471"/>
      <c r="B50" s="472"/>
      <c r="C50" s="567" t="s">
        <v>826</v>
      </c>
      <c r="D50" s="568"/>
      <c r="E50" s="263" t="s">
        <v>770</v>
      </c>
      <c r="F50" s="464"/>
      <c r="G50" s="465"/>
      <c r="H50" s="458"/>
      <c r="I50" s="458"/>
      <c r="J50" s="464"/>
      <c r="K50" s="466"/>
      <c r="L50" s="13"/>
      <c r="M50" s="13"/>
      <c r="N50" s="13"/>
      <c r="O50" s="13"/>
      <c r="P50" s="13"/>
      <c r="U50" s="16" t="s">
        <v>827</v>
      </c>
    </row>
    <row r="51" spans="1:21" ht="15" customHeight="1">
      <c r="A51" s="471"/>
      <c r="B51" s="472"/>
      <c r="C51" s="565" t="s">
        <v>828</v>
      </c>
      <c r="D51" s="566"/>
      <c r="E51" s="263" t="s">
        <v>770</v>
      </c>
      <c r="F51" s="458"/>
      <c r="G51" s="458"/>
      <c r="H51" s="458"/>
      <c r="I51" s="458"/>
      <c r="J51" s="459"/>
      <c r="K51" s="460"/>
      <c r="L51" s="13"/>
      <c r="M51" s="13"/>
      <c r="N51" s="13"/>
      <c r="O51" s="13"/>
      <c r="P51" s="13"/>
    </row>
    <row r="52" spans="1:21" ht="15" customHeight="1">
      <c r="A52" s="449" t="s">
        <v>829</v>
      </c>
      <c r="B52" s="450"/>
      <c r="C52" s="451"/>
      <c r="D52" s="452"/>
      <c r="E52" s="263" t="s">
        <v>830</v>
      </c>
      <c r="F52" s="458"/>
      <c r="G52" s="458"/>
      <c r="H52" s="458">
        <v>1000</v>
      </c>
      <c r="I52" s="458"/>
      <c r="J52" s="459"/>
      <c r="K52" s="460"/>
    </row>
    <row r="53" spans="1:21" ht="15" customHeight="1" thickBot="1">
      <c r="A53" s="558" t="s">
        <v>831</v>
      </c>
      <c r="B53" s="559"/>
      <c r="C53" s="559"/>
      <c r="D53" s="560"/>
      <c r="E53" s="264"/>
      <c r="F53" s="561"/>
      <c r="G53" s="561"/>
      <c r="H53" s="562" t="s">
        <v>832</v>
      </c>
      <c r="I53" s="562"/>
      <c r="J53" s="563"/>
      <c r="K53" s="564"/>
    </row>
    <row r="54" spans="1:21" ht="9" customHeight="1" thickBot="1">
      <c r="A54" s="557"/>
      <c r="B54" s="557"/>
      <c r="C54" s="557"/>
      <c r="D54" s="557"/>
      <c r="E54" s="557"/>
      <c r="F54" s="557"/>
      <c r="G54" s="557"/>
      <c r="H54" s="557"/>
      <c r="I54" s="557"/>
      <c r="J54" s="557"/>
      <c r="K54" s="557"/>
    </row>
    <row r="55" spans="1:21" s="13" customFormat="1" ht="16.5" customHeight="1">
      <c r="A55" s="511" t="s">
        <v>833</v>
      </c>
      <c r="B55" s="512"/>
      <c r="C55" s="512"/>
      <c r="D55" s="513" t="s">
        <v>834</v>
      </c>
      <c r="E55" s="514"/>
      <c r="F55" s="514"/>
      <c r="G55" s="514"/>
      <c r="H55" s="514"/>
      <c r="I55" s="514"/>
      <c r="J55" s="514"/>
      <c r="K55" s="515"/>
    </row>
    <row r="56" spans="1:21" s="13" customFormat="1" ht="15" customHeight="1">
      <c r="A56" s="522" t="s">
        <v>835</v>
      </c>
      <c r="B56" s="523"/>
      <c r="C56" s="540" t="s">
        <v>239</v>
      </c>
      <c r="D56" s="516"/>
      <c r="E56" s="517"/>
      <c r="F56" s="517"/>
      <c r="G56" s="517"/>
      <c r="H56" s="517"/>
      <c r="I56" s="517"/>
      <c r="J56" s="517"/>
      <c r="K56" s="518"/>
    </row>
    <row r="57" spans="1:21" s="13" customFormat="1" ht="15" customHeight="1">
      <c r="A57" s="524"/>
      <c r="B57" s="525"/>
      <c r="C57" s="541"/>
      <c r="D57" s="519"/>
      <c r="E57" s="520"/>
      <c r="F57" s="520"/>
      <c r="G57" s="520"/>
      <c r="H57" s="520"/>
      <c r="I57" s="520"/>
      <c r="J57" s="520"/>
      <c r="K57" s="521"/>
    </row>
    <row r="58" spans="1:21" s="13" customFormat="1" ht="29.45" customHeight="1">
      <c r="A58" s="505" t="s">
        <v>836</v>
      </c>
      <c r="B58" s="555"/>
      <c r="C58" s="213" t="s">
        <v>803</v>
      </c>
      <c r="D58" s="171"/>
      <c r="E58" s="553" t="s">
        <v>837</v>
      </c>
      <c r="F58" s="553"/>
      <c r="G58" s="553" t="s">
        <v>838</v>
      </c>
      <c r="H58" s="553"/>
      <c r="I58" s="553"/>
      <c r="J58" s="553" t="s">
        <v>329</v>
      </c>
      <c r="K58" s="554"/>
    </row>
    <row r="59" spans="1:21" s="13" customFormat="1" ht="30" customHeight="1">
      <c r="A59" s="505" t="s">
        <v>839</v>
      </c>
      <c r="B59" s="555"/>
      <c r="C59" s="213" t="s">
        <v>239</v>
      </c>
      <c r="D59" s="203" t="s">
        <v>840</v>
      </c>
      <c r="E59" s="507" t="s">
        <v>841</v>
      </c>
      <c r="F59" s="508"/>
      <c r="G59" s="464"/>
      <c r="H59" s="556"/>
      <c r="I59" s="465"/>
      <c r="J59" s="551">
        <f ca="1">TODAY()</f>
        <v>45096</v>
      </c>
      <c r="K59" s="552"/>
    </row>
    <row r="60" spans="1:21" s="13" customFormat="1" ht="30" customHeight="1">
      <c r="A60" s="505" t="s">
        <v>842</v>
      </c>
      <c r="B60" s="506"/>
      <c r="C60" s="323" t="s">
        <v>240</v>
      </c>
      <c r="D60" s="203" t="s">
        <v>843</v>
      </c>
      <c r="E60" s="507" t="s">
        <v>841</v>
      </c>
      <c r="F60" s="508"/>
      <c r="G60" s="464"/>
      <c r="H60" s="556"/>
      <c r="I60" s="465"/>
      <c r="J60" s="551">
        <f ca="1">TODAY()</f>
        <v>45096</v>
      </c>
      <c r="K60" s="552"/>
    </row>
    <row r="61" spans="1:21" s="13" customFormat="1" ht="30" customHeight="1" thickBot="1">
      <c r="A61" s="544" t="s">
        <v>844</v>
      </c>
      <c r="B61" s="545"/>
      <c r="C61" s="212" t="s">
        <v>240</v>
      </c>
      <c r="D61" s="204" t="s">
        <v>845</v>
      </c>
      <c r="E61" s="546" t="s">
        <v>846</v>
      </c>
      <c r="F61" s="547"/>
      <c r="G61" s="548"/>
      <c r="H61" s="549"/>
      <c r="I61" s="550"/>
      <c r="J61" s="551">
        <f ca="1">TODAY()</f>
        <v>45096</v>
      </c>
      <c r="K61" s="552"/>
    </row>
    <row r="62" spans="1:21" s="13" customFormat="1" ht="1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</row>
    <row r="63" spans="1:21" s="13" customFormat="1" ht="15" customHeight="1">
      <c r="A63" s="173" t="s">
        <v>847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</row>
  </sheetData>
  <mergeCells count="215">
    <mergeCell ref="A50:B50"/>
    <mergeCell ref="A51:B51"/>
    <mergeCell ref="C37:D37"/>
    <mergeCell ref="C38:D38"/>
    <mergeCell ref="C39:D39"/>
    <mergeCell ref="H41:I41"/>
    <mergeCell ref="H42:I42"/>
    <mergeCell ref="F40:G40"/>
    <mergeCell ref="H40:I40"/>
    <mergeCell ref="F49:G49"/>
    <mergeCell ref="A41:D41"/>
    <mergeCell ref="A42:D42"/>
    <mergeCell ref="F41:G41"/>
    <mergeCell ref="F42:G42"/>
    <mergeCell ref="C50:D50"/>
    <mergeCell ref="A44:D44"/>
    <mergeCell ref="F44:G44"/>
    <mergeCell ref="H44:I44"/>
    <mergeCell ref="A46:D46"/>
    <mergeCell ref="F46:G46"/>
    <mergeCell ref="H45:I45"/>
    <mergeCell ref="A37:B37"/>
    <mergeCell ref="A38:B38"/>
    <mergeCell ref="C49:D49"/>
    <mergeCell ref="A61:B61"/>
    <mergeCell ref="E61:F61"/>
    <mergeCell ref="G61:I61"/>
    <mergeCell ref="J61:K61"/>
    <mergeCell ref="F50:G50"/>
    <mergeCell ref="H50:I50"/>
    <mergeCell ref="J50:K50"/>
    <mergeCell ref="E58:F58"/>
    <mergeCell ref="G58:I58"/>
    <mergeCell ref="J58:K58"/>
    <mergeCell ref="A59:B59"/>
    <mergeCell ref="E59:F59"/>
    <mergeCell ref="G59:I59"/>
    <mergeCell ref="J59:K59"/>
    <mergeCell ref="J52:K52"/>
    <mergeCell ref="A58:B58"/>
    <mergeCell ref="A54:K54"/>
    <mergeCell ref="A53:D53"/>
    <mergeCell ref="F53:G53"/>
    <mergeCell ref="H53:I53"/>
    <mergeCell ref="J53:K53"/>
    <mergeCell ref="C51:D51"/>
    <mergeCell ref="G60:I60"/>
    <mergeCell ref="J60:K60"/>
    <mergeCell ref="A60:B60"/>
    <mergeCell ref="E60:F60"/>
    <mergeCell ref="A7:B7"/>
    <mergeCell ref="A55:C55"/>
    <mergeCell ref="D55:K57"/>
    <mergeCell ref="A56:B57"/>
    <mergeCell ref="C8:D8"/>
    <mergeCell ref="C7:K7"/>
    <mergeCell ref="A1:K1"/>
    <mergeCell ref="A3:K3"/>
    <mergeCell ref="A6:B6"/>
    <mergeCell ref="A8:B8"/>
    <mergeCell ref="C6:K6"/>
    <mergeCell ref="J8:K8"/>
    <mergeCell ref="F8:H8"/>
    <mergeCell ref="C56:C57"/>
    <mergeCell ref="A43:D43"/>
    <mergeCell ref="A45:D45"/>
    <mergeCell ref="A10:D10"/>
    <mergeCell ref="F10:G10"/>
    <mergeCell ref="H10:I10"/>
    <mergeCell ref="A13:D13"/>
    <mergeCell ref="F13:G13"/>
    <mergeCell ref="H13:I13"/>
    <mergeCell ref="J13:K13"/>
    <mergeCell ref="A14:D14"/>
    <mergeCell ref="F14:G14"/>
    <mergeCell ref="H14:I14"/>
    <mergeCell ref="J14:K14"/>
    <mergeCell ref="A15:D15"/>
    <mergeCell ref="F15:G15"/>
    <mergeCell ref="H15:I15"/>
    <mergeCell ref="J15:K15"/>
    <mergeCell ref="J10:K10"/>
    <mergeCell ref="A11:D11"/>
    <mergeCell ref="F11:G11"/>
    <mergeCell ref="H11:I11"/>
    <mergeCell ref="J11:K11"/>
    <mergeCell ref="A12:D12"/>
    <mergeCell ref="F12:G12"/>
    <mergeCell ref="H12:I12"/>
    <mergeCell ref="J12:K12"/>
    <mergeCell ref="H17:I17"/>
    <mergeCell ref="J17:K17"/>
    <mergeCell ref="A16:C16"/>
    <mergeCell ref="A18:D18"/>
    <mergeCell ref="F18:G18"/>
    <mergeCell ref="H18:I18"/>
    <mergeCell ref="J18:K18"/>
    <mergeCell ref="A19:D19"/>
    <mergeCell ref="F19:G19"/>
    <mergeCell ref="H19:I19"/>
    <mergeCell ref="J19:K19"/>
    <mergeCell ref="F16:G16"/>
    <mergeCell ref="H16:I16"/>
    <mergeCell ref="J16:K16"/>
    <mergeCell ref="A17:D17"/>
    <mergeCell ref="F17:G17"/>
    <mergeCell ref="A20:D20"/>
    <mergeCell ref="F20:G20"/>
    <mergeCell ref="H20:I20"/>
    <mergeCell ref="J20:K20"/>
    <mergeCell ref="A21:D21"/>
    <mergeCell ref="F21:G21"/>
    <mergeCell ref="H21:I21"/>
    <mergeCell ref="J21:K21"/>
    <mergeCell ref="A22:D22"/>
    <mergeCell ref="F22:G22"/>
    <mergeCell ref="H22:I22"/>
    <mergeCell ref="J22:K22"/>
    <mergeCell ref="F26:G26"/>
    <mergeCell ref="H26:I26"/>
    <mergeCell ref="J26:K26"/>
    <mergeCell ref="A26:B26"/>
    <mergeCell ref="C26:D26"/>
    <mergeCell ref="A23:D23"/>
    <mergeCell ref="F23:G23"/>
    <mergeCell ref="H23:I23"/>
    <mergeCell ref="F24:G24"/>
    <mergeCell ref="H24:I24"/>
    <mergeCell ref="J23:K23"/>
    <mergeCell ref="J24:K24"/>
    <mergeCell ref="A24:D24"/>
    <mergeCell ref="F27:G27"/>
    <mergeCell ref="H27:I27"/>
    <mergeCell ref="J27:K27"/>
    <mergeCell ref="A28:D28"/>
    <mergeCell ref="F28:G28"/>
    <mergeCell ref="H28:I28"/>
    <mergeCell ref="J28:K28"/>
    <mergeCell ref="C27:D27"/>
    <mergeCell ref="A29:D29"/>
    <mergeCell ref="F29:G29"/>
    <mergeCell ref="H29:I29"/>
    <mergeCell ref="J29:K29"/>
    <mergeCell ref="A27:B27"/>
    <mergeCell ref="A30:D30"/>
    <mergeCell ref="F30:G30"/>
    <mergeCell ref="H30:I30"/>
    <mergeCell ref="J30:K30"/>
    <mergeCell ref="A31:D31"/>
    <mergeCell ref="F31:G31"/>
    <mergeCell ref="H31:I31"/>
    <mergeCell ref="J31:K31"/>
    <mergeCell ref="A32:D32"/>
    <mergeCell ref="F32:G32"/>
    <mergeCell ref="H32:I32"/>
    <mergeCell ref="J32:K32"/>
    <mergeCell ref="A33:D33"/>
    <mergeCell ref="F33:G33"/>
    <mergeCell ref="H33:I33"/>
    <mergeCell ref="J33:K33"/>
    <mergeCell ref="A34:D34"/>
    <mergeCell ref="F34:G34"/>
    <mergeCell ref="H34:I34"/>
    <mergeCell ref="J34:K34"/>
    <mergeCell ref="A35:D35"/>
    <mergeCell ref="F35:G35"/>
    <mergeCell ref="H35:I35"/>
    <mergeCell ref="J35:K35"/>
    <mergeCell ref="A49:B49"/>
    <mergeCell ref="J40:K40"/>
    <mergeCell ref="J44:K44"/>
    <mergeCell ref="J46:K46"/>
    <mergeCell ref="F36:G36"/>
    <mergeCell ref="J36:K36"/>
    <mergeCell ref="H36:I36"/>
    <mergeCell ref="F38:G38"/>
    <mergeCell ref="J38:K38"/>
    <mergeCell ref="H38:I38"/>
    <mergeCell ref="F37:G37"/>
    <mergeCell ref="H37:I37"/>
    <mergeCell ref="J37:K37"/>
    <mergeCell ref="F45:G45"/>
    <mergeCell ref="H47:I47"/>
    <mergeCell ref="A39:B39"/>
    <mergeCell ref="J41:K41"/>
    <mergeCell ref="J42:K42"/>
    <mergeCell ref="F39:G39"/>
    <mergeCell ref="J39:K39"/>
    <mergeCell ref="H39:I39"/>
    <mergeCell ref="A40:D40"/>
    <mergeCell ref="A47:D47"/>
    <mergeCell ref="A52:D52"/>
    <mergeCell ref="J47:K47"/>
    <mergeCell ref="A48:D48"/>
    <mergeCell ref="F48:G48"/>
    <mergeCell ref="H48:I48"/>
    <mergeCell ref="J48:K48"/>
    <mergeCell ref="A25:D25"/>
    <mergeCell ref="F25:G25"/>
    <mergeCell ref="H25:I25"/>
    <mergeCell ref="J25:K25"/>
    <mergeCell ref="F52:G52"/>
    <mergeCell ref="H52:I52"/>
    <mergeCell ref="J43:K43"/>
    <mergeCell ref="J45:K45"/>
    <mergeCell ref="H46:I46"/>
    <mergeCell ref="F51:G51"/>
    <mergeCell ref="H51:I51"/>
    <mergeCell ref="J51:K51"/>
    <mergeCell ref="H49:I49"/>
    <mergeCell ref="F47:G47"/>
    <mergeCell ref="F43:G43"/>
    <mergeCell ref="H43:I43"/>
    <mergeCell ref="J49:K49"/>
    <mergeCell ref="A36:D36"/>
  </mergeCells>
  <phoneticPr fontId="0" type="noConversion"/>
  <dataValidations count="7">
    <dataValidation type="list" allowBlank="1" sqref="H44:I44" xr:uid="{00000000-0002-0000-0500-000000000000}">
      <formula1>$L$43:$L$44</formula1>
    </dataValidation>
    <dataValidation type="list" allowBlank="1" showInputMessage="1" showErrorMessage="1" sqref="F45:I45" xr:uid="{00000000-0002-0000-0500-000001000000}">
      <formula1>$M$45:$M$46</formula1>
    </dataValidation>
    <dataValidation type="list" allowBlank="1" showInputMessage="1" showErrorMessage="1" sqref="F46:I46" xr:uid="{00000000-0002-0000-0500-000002000000}">
      <formula1>$O$45:$O$47</formula1>
    </dataValidation>
    <dataValidation type="list" allowBlank="1" showInputMessage="1" showErrorMessage="1" sqref="H43:I43 C59:C61 C56:C57" xr:uid="{00000000-0002-0000-0500-000003000000}">
      <formula1>$L$43:$L$44</formula1>
    </dataValidation>
    <dataValidation type="list" allowBlank="1" showInputMessage="1" showErrorMessage="1" sqref="C58" xr:uid="{00000000-0002-0000-0500-000004000000}">
      <formula1>$L$43:$L$45</formula1>
    </dataValidation>
    <dataValidation type="list" allowBlank="1" showInputMessage="1" showErrorMessage="1" sqref="H47:I47" xr:uid="{00000000-0002-0000-0500-000005000000}">
      <formula1>$R$45:$R$49</formula1>
    </dataValidation>
    <dataValidation type="list" allowBlank="1" showInputMessage="1" showErrorMessage="1" sqref="J46:K46" xr:uid="{00000000-0002-0000-0500-000006000000}">
      <formula1>$U$45:$U$50</formula1>
    </dataValidation>
  </dataValidations>
  <printOptions horizontalCentered="1" verticalCentered="1"/>
  <pageMargins left="0.25" right="0.25" top="0.75" bottom="0.75" header="0.3" footer="0.3"/>
  <pageSetup scale="73" orientation="portrait" r:id="rId1"/>
  <headerFooter alignWithMargins="0">
    <oddFooter>&amp;R&amp;D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9"/>
  <sheetViews>
    <sheetView topLeftCell="A22" workbookViewId="0">
      <selection activeCell="F40" sqref="F40:G40"/>
    </sheetView>
  </sheetViews>
  <sheetFormatPr defaultRowHeight="12.75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>
      <c r="A1" s="632" t="s">
        <v>848</v>
      </c>
      <c r="B1" s="632"/>
      <c r="C1" s="632"/>
      <c r="D1" s="632"/>
      <c r="E1" s="632"/>
      <c r="F1" s="632"/>
      <c r="G1" s="632"/>
    </row>
    <row r="2" spans="1:16" ht="23.25" customHeight="1">
      <c r="A2" s="633" t="s">
        <v>849</v>
      </c>
      <c r="B2" s="633"/>
      <c r="C2" s="633"/>
      <c r="D2" s="633"/>
      <c r="E2" s="633"/>
      <c r="F2" s="633"/>
      <c r="G2" s="633"/>
    </row>
    <row r="3" spans="1:16" ht="13.5" thickBot="1">
      <c r="A3" s="632"/>
      <c r="B3" s="632"/>
      <c r="C3" s="632"/>
      <c r="D3" s="632"/>
      <c r="E3" s="632"/>
      <c r="F3" s="632"/>
      <c r="G3" s="632"/>
      <c r="H3" s="14"/>
    </row>
    <row r="4" spans="1:16" ht="13.5" customHeight="1">
      <c r="A4" s="639" t="s">
        <v>850</v>
      </c>
      <c r="B4" s="640"/>
      <c r="C4" s="186" t="str">
        <f ca="1">"B (T) : "&amp;LEFT(P!C27,FIND("T",P!C27,1)-1)</f>
        <v xml:space="preserve">B (T) : 1.750 </v>
      </c>
      <c r="D4" s="634" t="str">
        <f ca="1">"L (mm) : "&amp;IF(LEFT(P!B37,3)="Adj",Q!K186,Q!B186)</f>
        <v>L (mm) : 52</v>
      </c>
      <c r="E4" s="635"/>
      <c r="F4" s="636"/>
      <c r="G4" s="187" t="s">
        <v>851</v>
      </c>
      <c r="H4" s="14"/>
      <c r="I4" s="16" t="s">
        <v>169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>
      <c r="A5" s="192" t="str">
        <f ca="1">"V/T : "&amp;LEFT(P!C28,FIND(",",P!C28,1)-1)</f>
        <v>V/T : 29.950</v>
      </c>
      <c r="B5" s="165" t="str">
        <f ca="1">"GRADE : "&amp;LEFT(P!C26,FIND("/",P!C26,1)-1)</f>
        <v xml:space="preserve">GRADE : 27ZH00 </v>
      </c>
      <c r="C5" s="165" t="str">
        <f ca="1">"C - C (mm) : "&amp;Q!B142</f>
        <v>C - C (mm) : 656</v>
      </c>
      <c r="D5" s="570" t="str">
        <f ca="1">"W1 / W2 / W3 / W4 (mm) : "&amp;0.5*Q!B187&amp;" / "&amp;0.5*Q!B188&amp;" / "&amp;0.5*Q!B189&amp;" / "&amp;0.5*Q!F190&amp;" (HV) + "&amp;Q!K190&amp;" (LV)"</f>
        <v>W1 / W2 / W3 / W4 (mm) : 39 / 36.5 / 27.5 / 18 (HV) + 36 (LV)</v>
      </c>
      <c r="E5" s="570"/>
      <c r="F5" s="570"/>
      <c r="G5" s="190"/>
      <c r="H5" s="14"/>
      <c r="I5" s="16" t="s">
        <v>852</v>
      </c>
      <c r="J5" t="e">
        <f>ROUND(VALUE(TRIM(MID(#REF!,1,DDOS!K5-1)))+100*#REF!,1)</f>
        <v>#REF!</v>
      </c>
      <c r="K5" t="e">
        <f>FIND("m",#REF!,1)</f>
        <v>#REF!</v>
      </c>
      <c r="L5" s="16"/>
    </row>
    <row r="6" spans="1:16" ht="14.25" customHeight="1">
      <c r="A6" s="573" t="str">
        <f ca="1">"AREA : "&amp;RIGHT(P!E28,LEN(P!E28)-FIND("/",P!E28,1))</f>
        <v>AREA :  770.9 cm2</v>
      </c>
      <c r="B6" s="575"/>
      <c r="C6" s="165" t="str">
        <f ca="1">"W - H (mm) : "&amp;Q!B141</f>
        <v>W - H (mm) : 890</v>
      </c>
      <c r="D6" s="165" t="str">
        <f ca="1">"A (mm) : "&amp;Q!B186+Q!B187+Q!B188+Q!B189+Q!B190</f>
        <v>A (mm) : 294</v>
      </c>
      <c r="E6" s="570" t="str">
        <f ca="1">"H (mm) : "&amp;Q!A186</f>
        <v>H (mm) : 300</v>
      </c>
      <c r="F6" s="570"/>
      <c r="G6" s="190" t="str">
        <f ca="1">Q!J186</f>
        <v xml:space="preserve">   704.6 </v>
      </c>
      <c r="H6" s="14"/>
      <c r="J6" s="16"/>
    </row>
    <row r="7" spans="1:16" ht="14.25" customHeight="1">
      <c r="A7" s="607"/>
      <c r="B7" s="608"/>
      <c r="C7" s="608"/>
      <c r="D7" s="622"/>
      <c r="E7" s="570" t="str">
        <f ca="1">"T1 / T2 / T3 / T4 (mm) : "&amp;Q!A187&amp;" / "&amp;Q!A188&amp;" / "&amp;Q!A189&amp;" / "&amp;Q!A190</f>
        <v>T1 / T2 / T3 / T4 (mm) : 290 / 260 / 220 / 180</v>
      </c>
      <c r="F7" s="570"/>
      <c r="G7" s="190" t="str">
        <f ca="1">VALUE(Q!J187)&amp;" / "&amp;VALUE(Q!J188)&amp;" / "&amp;VALUE(Q!J189)&amp;" / "&amp;VALUE(Q!J190)</f>
        <v>1039.3 / 863.1 / 548.9 / 296.9</v>
      </c>
      <c r="H7" s="14"/>
    </row>
    <row r="8" spans="1:16">
      <c r="A8" s="584"/>
      <c r="B8" s="585"/>
      <c r="C8" s="585"/>
      <c r="D8" s="585"/>
      <c r="E8" s="585"/>
      <c r="F8" s="585"/>
      <c r="G8" s="586"/>
      <c r="H8" s="14"/>
    </row>
    <row r="9" spans="1:16">
      <c r="A9" s="624" t="s">
        <v>853</v>
      </c>
      <c r="B9" s="625"/>
      <c r="C9" s="637" t="s">
        <v>196</v>
      </c>
      <c r="D9" s="637"/>
      <c r="E9" s="637"/>
      <c r="F9" s="637" t="s">
        <v>197</v>
      </c>
      <c r="G9" s="638"/>
      <c r="H9" s="14"/>
      <c r="I9" s="16"/>
    </row>
    <row r="10" spans="1:16">
      <c r="A10" s="569" t="s">
        <v>854</v>
      </c>
      <c r="B10" s="570"/>
      <c r="C10" s="597" t="str">
        <f ca="1">Q!B48&amp;" / "&amp;ROUND(IF(Q!B76="yn",VALUE(Q!B48)/SQRT(3),VALUE(Q!B48)),3)</f>
        <v>415 / 239.6</v>
      </c>
      <c r="D10" s="597"/>
      <c r="E10" s="597"/>
      <c r="F10" s="597" t="str">
        <f ca="1">Q!B47&amp;" / "&amp;ROUND(IF(Q!B77="YN",VALUE(Q!B47)/SQRT(3),VALUE(Q!B47)),3)</f>
        <v>33000 / 33000</v>
      </c>
      <c r="G10" s="627"/>
      <c r="H10" s="14"/>
    </row>
    <row r="11" spans="1:16">
      <c r="A11" s="569" t="s">
        <v>855</v>
      </c>
      <c r="B11" s="570"/>
      <c r="C11" s="597" t="str">
        <f ca="1">Q!B50&amp;" / "&amp;ROUND(Q!B49,3)</f>
        <v>5564.822 / 5564.822</v>
      </c>
      <c r="D11" s="597"/>
      <c r="E11" s="597"/>
      <c r="F11" s="597" t="str">
        <f ca="1">Q!B54&amp;" / "&amp;ROUND(VALUE(RIGHT(Q!E53,Q!C53-Q!D53)),3)</f>
        <v>69.982 / 40.404</v>
      </c>
      <c r="G11" s="627"/>
      <c r="H11" s="14"/>
    </row>
    <row r="12" spans="1:16">
      <c r="A12" s="569" t="s">
        <v>856</v>
      </c>
      <c r="B12" s="570"/>
      <c r="C12" s="628" t="str">
        <f ca="1">IF(H12=0,Q!B76,H12)</f>
        <v>yn</v>
      </c>
      <c r="D12" s="628"/>
      <c r="E12" s="628"/>
      <c r="F12" s="628" t="str">
        <f ca="1">IF(I12=0,Q!B77,I12)</f>
        <v>D</v>
      </c>
      <c r="G12" s="629"/>
      <c r="H12" s="306"/>
      <c r="I12" s="306"/>
    </row>
    <row r="13" spans="1:16">
      <c r="A13" s="569" t="s">
        <v>857</v>
      </c>
      <c r="B13" s="570"/>
      <c r="C13" s="597" t="s">
        <v>858</v>
      </c>
      <c r="D13" s="597"/>
      <c r="E13" s="597"/>
      <c r="F13" s="597" t="s">
        <v>859</v>
      </c>
      <c r="G13" s="627"/>
      <c r="H13" s="14"/>
      <c r="J13" s="16" t="s">
        <v>860</v>
      </c>
      <c r="K13" s="16" t="s">
        <v>761</v>
      </c>
    </row>
    <row r="14" spans="1:16">
      <c r="A14" s="569" t="s">
        <v>861</v>
      </c>
      <c r="B14" s="570"/>
      <c r="C14" s="597">
        <f ca="1">ROUND(IF(P!C41=Q!B200,DDOS!C15:E15,P!C42),0)</f>
        <v>8</v>
      </c>
      <c r="D14" s="597"/>
      <c r="E14" s="597"/>
      <c r="F14" s="597" t="str">
        <f ca="1">LEFT(P!C59,FIND("/",P!C59,1)-1)&amp;" / "&amp;N14</f>
        <v>1157 / 1102</v>
      </c>
      <c r="G14" s="627"/>
      <c r="J14" s="16" t="s">
        <v>859</v>
      </c>
      <c r="K14" s="16" t="s">
        <v>761</v>
      </c>
      <c r="M14" s="16" t="s">
        <v>169</v>
      </c>
      <c r="N14">
        <f ca="1">ROUND(VALUE(TRIM(MID(P!C59,DDOS!O14+1,DDOS!P14-DDOS!O14))),0)</f>
        <v>1102</v>
      </c>
      <c r="O14">
        <f ca="1">FIND("/",P!C59,1)</f>
        <v>5</v>
      </c>
      <c r="P14">
        <f ca="1">LEN(P!C59)</f>
        <v>12</v>
      </c>
    </row>
    <row r="15" spans="1:16">
      <c r="A15" s="569" t="s">
        <v>862</v>
      </c>
      <c r="B15" s="570"/>
      <c r="C15" s="597">
        <f ca="1">ROUND(IF(P!C41=Q!B200,Q!B168,LEFT(P!C49,FIND(":",P!C49,1)-1)),0)</f>
        <v>8</v>
      </c>
      <c r="D15" s="597"/>
      <c r="E15" s="597"/>
      <c r="F15" s="597" t="str">
        <f ca="1">LEFT(P!C65,FIND("#",P!C65,1)-1)</f>
        <v>23</v>
      </c>
      <c r="G15" s="627"/>
      <c r="J15" s="16" t="s">
        <v>863</v>
      </c>
      <c r="K15" s="16" t="s">
        <v>771</v>
      </c>
    </row>
    <row r="16" spans="1:16">
      <c r="A16" s="569" t="s">
        <v>864</v>
      </c>
      <c r="B16" s="570"/>
      <c r="C16" s="597">
        <f ca="1">IF(C14=C15,1,RIGHT(P!C49,LEN(P!C49)-FIND(":",P!C49,1)))</f>
        <v>1</v>
      </c>
      <c r="D16" s="597"/>
      <c r="E16" s="597"/>
      <c r="F16" s="597" t="str">
        <f ca="1">RIGHT(P!C65,LEN(P!C65)-FIND("#",P!C65,1))</f>
        <v xml:space="preserve">  51.00/ 35.00 *</v>
      </c>
      <c r="G16" s="627"/>
      <c r="J16" s="16" t="s">
        <v>865</v>
      </c>
      <c r="K16" s="16" t="s">
        <v>776</v>
      </c>
    </row>
    <row r="17" spans="1:11">
      <c r="A17" s="569" t="s">
        <v>339</v>
      </c>
      <c r="B17" s="570"/>
      <c r="C17" s="597" t="str">
        <f ca="1">"(0.25 + 0.25 SL x "&amp;Q!C140&amp;") DDP Between Layers"</f>
        <v>(0.25 + 0.25 SL x 838) DDP Between Layers</v>
      </c>
      <c r="D17" s="597"/>
      <c r="E17" s="597"/>
      <c r="F17" s="597" t="str">
        <f ca="1">"(0.15 + 0.25 SL x "&amp;Q!C140&amp;") DDP Between Layers"</f>
        <v>(0.15 + 0.25 SL x 838) DDP Between Layers</v>
      </c>
      <c r="G17" s="627"/>
      <c r="J17" s="16" t="s">
        <v>858</v>
      </c>
      <c r="K17" s="16" t="s">
        <v>196</v>
      </c>
    </row>
    <row r="18" spans="1:11">
      <c r="A18" s="569"/>
      <c r="B18" s="570"/>
      <c r="C18" s="597"/>
      <c r="D18" s="597"/>
      <c r="E18" s="597"/>
      <c r="F18" s="597" t="str">
        <f ca="1">"(0.15 + 0.25 + 0.25 SL x "&amp;Q!C140&amp;") DDP Between Layers"</f>
        <v>(0.15 + 0.25 + 0.25 SL x 838) DDP Between Layers</v>
      </c>
      <c r="G18" s="627"/>
    </row>
    <row r="19" spans="1:11">
      <c r="A19" s="569"/>
      <c r="B19" s="570"/>
      <c r="C19" s="597"/>
      <c r="D19" s="597"/>
      <c r="E19" s="597"/>
      <c r="F19" s="597" t="s">
        <v>866</v>
      </c>
      <c r="G19" s="627"/>
    </row>
    <row r="20" spans="1:11">
      <c r="A20" s="607"/>
      <c r="B20" s="622"/>
      <c r="C20" s="594"/>
      <c r="D20" s="595"/>
      <c r="E20" s="596"/>
      <c r="F20" s="594"/>
      <c r="G20" s="598"/>
    </row>
    <row r="21" spans="1:11">
      <c r="A21" s="573" t="s">
        <v>867</v>
      </c>
      <c r="B21" s="575"/>
      <c r="C21" s="594" t="str">
        <f ca="1">'Bill of Materials'!C19</f>
        <v xml:space="preserve">18 x 0.25mm </v>
      </c>
      <c r="D21" s="595"/>
      <c r="E21" s="596"/>
      <c r="F21" s="594" t="str">
        <f ca="1">IF('Bill of Materials'!E27&gt;0,'Bill of Materials'!C27,"")</f>
        <v xml:space="preserve">(45 - 59.4) x 0.25mm </v>
      </c>
      <c r="G21" s="598"/>
    </row>
    <row r="22" spans="1:11">
      <c r="A22" s="607"/>
      <c r="B22" s="622"/>
      <c r="C22" s="594"/>
      <c r="D22" s="595"/>
      <c r="E22" s="596"/>
      <c r="F22" s="594"/>
      <c r="G22" s="598"/>
    </row>
    <row r="23" spans="1:11">
      <c r="A23" s="569" t="s">
        <v>868</v>
      </c>
      <c r="B23" s="570"/>
      <c r="C23" s="597" t="str">
        <f ca="1">IF(OR(ISERROR(VLOOKUP(Q!B442,Q!B447:H455,5,FALSE)),VLOOKUP(Q!B442,Q!B447:H455,5,FALSE)=0),"-",VLOOKUP(Q!B442,Q!B447:H455,5,FALSE))</f>
        <v>Full Cooling Duct Between Layers 4 &amp; 5 (838 x 1170 mm)</v>
      </c>
      <c r="D23" s="597"/>
      <c r="E23" s="597"/>
      <c r="F23" s="597" t="str">
        <f ca="1">IF(OR(ISERROR(VLOOKUP(Q!B457,Q!B462:H470,5,FALSE)),VLOOKUP(Q!B457,Q!B462:H470,5,FALSE)=0),"-",VLOOKUP(Q!B457,Q!B462:H470,5,FALSE))</f>
        <v>Full Cooling Duct Between Layers 5 &amp; 6 (838 x 1480 mm)</v>
      </c>
      <c r="G23" s="627"/>
    </row>
    <row r="24" spans="1:11">
      <c r="A24" s="569"/>
      <c r="B24" s="570"/>
      <c r="C24" s="597" t="str">
        <f ca="1">IF(OR(ISERROR(VLOOKUP(Q!B442,Q!B447:H455,6,FALSE)),VLOOKUP(Q!B442,Q!B447:H455,6,FALSE)=0),"-",VLOOKUP(Q!B442,Q!B447:H455,6,FALSE))</f>
        <v>-</v>
      </c>
      <c r="D24" s="597"/>
      <c r="E24" s="597"/>
      <c r="F24" s="597" t="str">
        <f ca="1">IF(OR(ISERROR(VLOOKUP(Q!B457,Q!B462:H470,6,FALSE)),VLOOKUP(Q!B457,Q!B462:H470,6,FALSE)=0),"-",VLOOKUP(Q!B457,Q!B462:H470,6,FALSE))</f>
        <v>Full Cooling Duct Between Layers 11 &amp; 12 (838 x 1750 mm)</v>
      </c>
      <c r="G24" s="627"/>
    </row>
    <row r="25" spans="1:11">
      <c r="A25" s="569"/>
      <c r="B25" s="570"/>
      <c r="C25" s="597" t="str">
        <f ca="1">IF(OR(ISERROR(VLOOKUP(Q!B442,Q!B447:H455,7,FALSE)),VLOOKUP(Q!B442,Q!B447:H455,7,FALSE)=0),"-",VLOOKUP(Q!B442,Q!B447:H455,7,FALSE))</f>
        <v>-</v>
      </c>
      <c r="D25" s="597"/>
      <c r="E25" s="597"/>
      <c r="F25" s="597" t="str">
        <f ca="1">IF(OR(ISERROR(VLOOKUP(Q!B457,Q!B462:H470,7,FALSE)),VLOOKUP(Q!B457,Q!B462:H470,7,FALSE)=0),"-",VLOOKUP(Q!B457,Q!B462:H470,7,FALSE))</f>
        <v>Full Cooling Duct Between Layers 17 &amp; 18 (838 x 2010 mm)</v>
      </c>
      <c r="G25" s="627"/>
    </row>
    <row r="26" spans="1:11">
      <c r="A26" s="607"/>
      <c r="B26" s="622"/>
      <c r="C26" s="594"/>
      <c r="D26" s="595"/>
      <c r="E26" s="596"/>
      <c r="F26" s="594"/>
      <c r="G26" s="598"/>
    </row>
    <row r="27" spans="1:11" ht="12.75" customHeight="1">
      <c r="A27" s="569" t="s">
        <v>869</v>
      </c>
      <c r="B27" s="570"/>
      <c r="C27" s="597" t="str">
        <f ca="1">Q!B208</f>
        <v xml:space="preserve"> 800.00 x 3.00</v>
      </c>
      <c r="D27" s="597"/>
      <c r="E27" s="597"/>
      <c r="F27" s="597" t="str">
        <f ca="1">Q!B212&amp;IF(Q!G211&gt;1," x "&amp;Q!G211,"")</f>
        <v xml:space="preserve"> 6.700 x 2</v>
      </c>
      <c r="G27" s="627"/>
      <c r="I27" t="str">
        <f ca="1">IF(Q!G211&gt;1," x "&amp;Q!G211,"")</f>
        <v xml:space="preserve"> x 2</v>
      </c>
    </row>
    <row r="28" spans="1:11" ht="12.75" customHeight="1">
      <c r="A28" s="569" t="s">
        <v>870</v>
      </c>
      <c r="B28" s="570"/>
      <c r="C28" s="597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800.00 x 3.00</v>
      </c>
      <c r="D28" s="597"/>
      <c r="E28" s="597"/>
      <c r="F28" s="597" t="str">
        <f ca="1">LEFT(F27,5)+VALUE(MID(P!E62,FIND("/",P!E62,1)+1,FIND("m",P!E62,1)-FIND("/",P!E62,1)-1))&amp;IF(Q!G211&gt;1," x "&amp;Q!G211,"")</f>
        <v>7.2 x 2</v>
      </c>
      <c r="G28" s="627"/>
    </row>
    <row r="29" spans="1:11">
      <c r="A29" s="573" t="s">
        <v>871</v>
      </c>
      <c r="B29" s="575"/>
      <c r="C29" s="597">
        <f ca="1">ROUND(VALUE(Q!B49)/VALUE(DDOS!C30:E30),3)</f>
        <v>2399.665</v>
      </c>
      <c r="D29" s="597"/>
      <c r="E29" s="597"/>
      <c r="F29" s="597">
        <f ca="1">ROUND(LEFT(P!H59,FIND("m",P!H59,1)-1),3)</f>
        <v>35.081000000000003</v>
      </c>
      <c r="G29" s="627"/>
    </row>
    <row r="30" spans="1:11">
      <c r="A30" s="569" t="s">
        <v>872</v>
      </c>
      <c r="B30" s="570"/>
      <c r="C30" s="597" t="str">
        <f ca="1">LEFT(P!C43,FIND("A",P!C43,1)-1)</f>
        <v xml:space="preserve">2.319 </v>
      </c>
      <c r="D30" s="597"/>
      <c r="E30" s="597"/>
      <c r="F30" s="597" t="str">
        <f ca="1">LEFT(P!C64,FIND("A",P!C64,1)-1)</f>
        <v xml:space="preserve">1.152 </v>
      </c>
      <c r="G30" s="627"/>
    </row>
    <row r="31" spans="1:11">
      <c r="A31" s="577" t="s">
        <v>873</v>
      </c>
      <c r="B31" s="578"/>
      <c r="C31" s="576" t="str">
        <f ca="1">LEFT(P!E48,FIND("m",P!E48,1)-1)</f>
        <v xml:space="preserve">100.000 / 20.000 </v>
      </c>
      <c r="D31" s="576"/>
      <c r="E31" s="576"/>
      <c r="F31" s="576" t="str">
        <f ca="1">IF(ISERROR(Q!M47),0,IF(Q!M47&gt;0,DDOS!H31,IF(Q!M48&gt;0,DDOS!H33,IF(Q!M49&gt;0,DDOS!H34,DDOS!F27))))</f>
        <v>7/1.7 bare copper</v>
      </c>
      <c r="G31" s="631"/>
      <c r="H31" t="s">
        <v>874</v>
      </c>
    </row>
    <row r="32" spans="1:11">
      <c r="A32" s="577" t="s">
        <v>875</v>
      </c>
      <c r="B32" s="578"/>
      <c r="C32" s="576" t="str">
        <f ca="1">LEFT(P!E49,FIND("m",P!E49,1)-1)</f>
        <v xml:space="preserve">100.000 / 20.000 </v>
      </c>
      <c r="D32" s="576"/>
      <c r="E32" s="576"/>
      <c r="F32" s="576" t="str">
        <f ca="1">IF(Q!N47&gt;0,DDOS!H31,IF(Q!N48&gt;0,DDOS!H33,IF(Q!N49&gt;0,DDOS!H34,DDOS!F27)))</f>
        <v>19/1.35 bare copper</v>
      </c>
      <c r="G32" s="631"/>
    </row>
    <row r="33" spans="1:17">
      <c r="A33" s="569" t="s">
        <v>876</v>
      </c>
      <c r="B33" s="570"/>
      <c r="C33" s="597" t="str">
        <f ca="1">P!E45</f>
        <v>32.71/ 32.71/ 32.71</v>
      </c>
      <c r="D33" s="597"/>
      <c r="E33" s="597"/>
      <c r="F33" s="597" t="str">
        <f ca="1">P!E60</f>
        <v>109.00/109.00/109.00</v>
      </c>
      <c r="G33" s="627"/>
      <c r="H33" t="s">
        <v>877</v>
      </c>
    </row>
    <row r="34" spans="1:17">
      <c r="A34" s="569" t="s">
        <v>878</v>
      </c>
      <c r="B34" s="570"/>
      <c r="C34" s="597" t="str">
        <f ca="1">_xlfn.CEILING.MATH(P34)&amp;" x "&amp;_xlfn.CEILING.MATH(P35-P38)&amp;" / "&amp;_xlfn.CEILING.MATH(P36)&amp;" x "&amp;_xlfn.CEILING.MATH(P37+P38)</f>
        <v>307 x 338 / 373 x 445</v>
      </c>
      <c r="D34" s="597"/>
      <c r="E34" s="597"/>
      <c r="F34" s="597" t="str">
        <f ca="1">_xlfn.CEILING.MATH(Q34)&amp;" x "&amp;_xlfn.CEILING.MATH(Q35+P38)&amp;" / "&amp;_xlfn.CEILING.MATH(Q36)&amp;" x "&amp;_xlfn.CEILING.MATH(Q37+P38)+2</f>
        <v>415 x 487 / 633 x 707</v>
      </c>
      <c r="G34" s="627"/>
      <c r="H34" t="s">
        <v>879</v>
      </c>
      <c r="P34">
        <f ca="1">VALUE(LEFT(P!E42,FIND("x",P!E42,1)-1))</f>
        <v>307</v>
      </c>
      <c r="Q34">
        <f ca="1">VALUE(LEFT(P!E58,FIND("x",P!E58,1)-1))</f>
        <v>414.42099999999999</v>
      </c>
    </row>
    <row r="35" spans="1:17" ht="12.75" customHeight="1">
      <c r="A35" s="569" t="s">
        <v>880</v>
      </c>
      <c r="B35" s="570"/>
      <c r="C35" s="594" t="str">
        <f ca="1">TRIM(IF(P!C41=Q!B200,LEFT(DDOS!C27:E27,FIND("x",DDOS!C27:E27,1)-1),RIGHT(P!H41,LEN(P!H41)-FIND("x",P!H41,1))))&amp;" / "&amp;TRIM(LEFT(P!E41,FIND("m",P!E41,1)-1))</f>
        <v>800.00 / 840.000</v>
      </c>
      <c r="D35" s="595"/>
      <c r="E35" s="596"/>
      <c r="F35" s="597" t="str">
        <f ca="1">RIGHT(P!H57,LEN(P!H57)-FIND("/",P!H57,1))&amp;" / "&amp;LEFT(P!E41,FIND("m",P!E41,1)-1)</f>
        <v xml:space="preserve">  735.600 / 840.000 </v>
      </c>
      <c r="G35" s="627"/>
      <c r="P35">
        <f ca="1">VALUE(MID(P!E42,FIND("x",P!E42,1)+1,LEN(P!E42)-FIND("x",P!E42,1)-2))</f>
        <v>358.09500000000003</v>
      </c>
      <c r="Q35">
        <f ca="1">VALUE(MID(P!E58,FIND("x",P!E58,1)+1,LEN(P!E58)-FIND("x",P!E58,1)))</f>
        <v>465.51600000000002</v>
      </c>
    </row>
    <row r="36" spans="1:17">
      <c r="A36" s="569" t="s">
        <v>881</v>
      </c>
      <c r="B36" s="570"/>
      <c r="C36" s="597">
        <f ca="1">VALUE(C37)/(2*PI())</f>
        <v>186.11929186041044</v>
      </c>
      <c r="D36" s="597"/>
      <c r="E36" s="597"/>
      <c r="F36" s="597">
        <f ca="1">VALUE(F37)/(2*PI())</f>
        <v>277.98002360430439</v>
      </c>
      <c r="G36" s="627"/>
      <c r="P36">
        <f ca="1">VALUE(LEFT(P!E43,FIND("x",P!E43,1)-1))</f>
        <v>372.42099999999999</v>
      </c>
      <c r="Q36">
        <f ca="1">VALUE(LEFT(P!E59,FIND("x",P!E59,1)-1))</f>
        <v>632.42100000000005</v>
      </c>
    </row>
    <row r="37" spans="1:17">
      <c r="A37" s="569" t="s">
        <v>882</v>
      </c>
      <c r="B37" s="570"/>
      <c r="C37" s="597" t="str">
        <f ca="1">LEFT(P!C48,FIND("m",P!C48,1)-1)</f>
        <v xml:space="preserve">1169.422 </v>
      </c>
      <c r="D37" s="597"/>
      <c r="E37" s="597"/>
      <c r="F37" s="597" t="str">
        <f ca="1">LEFT(P!C62,FIND("m",P!C62,1)-1)</f>
        <v xml:space="preserve">1746.6 </v>
      </c>
      <c r="G37" s="627"/>
      <c r="P37">
        <f ca="1">VALUE(MID(P!E43,FIND("x",P!E43,1)+1,LEN(P!E43)-FIND("x",P!E43,1)-2))</f>
        <v>423.51600000000002</v>
      </c>
      <c r="Q37">
        <f ca="1">VALUE(MID(P!E59,FIND("x",P!E59,1)+1,LEN(P!E59)-FIND("x",P!E59,1)))</f>
        <v>683.51599999999996</v>
      </c>
    </row>
    <row r="38" spans="1:17">
      <c r="A38" s="569" t="s">
        <v>883</v>
      </c>
      <c r="B38" s="570"/>
      <c r="C38" s="597" t="str">
        <f ca="1">LEFT(P!H48,FIND("k",P!H48,1)-1)</f>
        <v xml:space="preserve">728.90 </v>
      </c>
      <c r="D38" s="597"/>
      <c r="E38" s="597"/>
      <c r="F38" s="597" t="str">
        <f ca="1">LEFT(P!H64,FIND("k",P!H64,1)-1)</f>
        <v xml:space="preserve">2032.86 </v>
      </c>
      <c r="G38" s="627"/>
      <c r="P38">
        <f ca="1">IF(P!C41=Q!B200,1+VALUE(MID(P!E48,FIND("/",P!E48,1)+1,FIND("m",P!E48,1)-FIND("/",P!E48,1)-1)),0)</f>
        <v>21</v>
      </c>
    </row>
    <row r="39" spans="1:17">
      <c r="A39" s="577" t="s">
        <v>884</v>
      </c>
      <c r="B39" s="578"/>
      <c r="C39" s="576" t="str">
        <f ca="1">LEFT(P!H51,FIND("@",P!H51,1)-1)&amp;" @ 75 C"</f>
        <v>8.2E-050  @ 75 C</v>
      </c>
      <c r="D39" s="576"/>
      <c r="E39" s="576"/>
      <c r="F39" s="576" t="str">
        <f ca="1">LEFT(P!H66,FIND("@",P!H66,1)-1)&amp;" @ 75 C"</f>
        <v>1.1500  @ 75 C</v>
      </c>
      <c r="G39" s="631"/>
    </row>
    <row r="40" spans="1:17">
      <c r="A40" s="569" t="s">
        <v>885</v>
      </c>
      <c r="B40" s="570"/>
      <c r="C40" s="597" t="e">
        <f ca="1">VALUE(LEFT(P!E114,FIND("(",P!E114,1)-1))+VALUE(LEFT(P!H114,FIND("/",P!H114,1)-1))+VALUE(RIGHT(P!H114,LEN(P!H114)-FIND("/",P!H114,1)-1))</f>
        <v>#VALUE!</v>
      </c>
      <c r="D40" s="597"/>
      <c r="E40" s="597"/>
      <c r="F40" s="597" t="e">
        <f ca="1">LEFT(P!C114,FIND("(",P!C114,1)-1)</f>
        <v>#VALUE!</v>
      </c>
      <c r="G40" s="627"/>
    </row>
    <row r="41" spans="1:17">
      <c r="A41" s="630"/>
      <c r="B41" s="597"/>
      <c r="C41" s="597"/>
      <c r="D41" s="597"/>
      <c r="E41" s="597"/>
      <c r="F41" s="597"/>
      <c r="G41" s="627"/>
    </row>
    <row r="42" spans="1:17">
      <c r="A42" s="582" t="s">
        <v>886</v>
      </c>
      <c r="B42" s="583"/>
      <c r="C42" s="588" t="str">
        <f ca="1">IF('Bill of Materials'!L59=0,Q!B330,'Bill of Materials'!L59)&amp;" x "&amp;Q!F330</f>
        <v>EN 3150 x 8</v>
      </c>
      <c r="D42" s="588"/>
      <c r="E42" s="588"/>
      <c r="F42" s="588" t="str">
        <f ca="1">IF('Bill of Materials'!L56=0,Q!B311,'Bill of Materials'!L56)&amp;" x "&amp;Q!F311</f>
        <v>Plug-in Type 36 kV 630 A Interface C x 3</v>
      </c>
      <c r="G42" s="590"/>
    </row>
    <row r="43" spans="1:17">
      <c r="A43" s="591"/>
      <c r="B43" s="592"/>
      <c r="C43" s="592"/>
      <c r="D43" s="592"/>
      <c r="E43" s="592"/>
      <c r="F43" s="592"/>
      <c r="G43" s="593"/>
    </row>
    <row r="44" spans="1:17" ht="12.75" customHeight="1">
      <c r="A44" s="188" t="s">
        <v>887</v>
      </c>
      <c r="B44" s="574" t="str">
        <f ca="1">"CORE / LV : "&amp;P!C72&amp;" mm"</f>
        <v>CORE / LV : 3.50x  3.50x 10.00 mm</v>
      </c>
      <c r="C44" s="574"/>
      <c r="D44" s="331" t="s">
        <v>888</v>
      </c>
      <c r="E44" s="166" t="str">
        <f ca="1">P!C73</f>
        <v>21.000 mm</v>
      </c>
      <c r="F44" s="166" t="str">
        <f ca="1">"HV/HV : "&amp;P!E73</f>
        <v>HV/HV : 23.000 mm</v>
      </c>
      <c r="G44" s="332" t="str">
        <f ca="1">"YOKE/COVER/BASE : "&amp;Q!B144 &amp;" / " &amp;Q!D144 &amp;" mm"</f>
        <v>YOKE/COVER/BASE : 280 / 41 mm</v>
      </c>
    </row>
    <row r="45" spans="1:17" ht="12.75" customHeight="1">
      <c r="A45" s="333" t="s">
        <v>889</v>
      </c>
      <c r="B45" s="574" t="s">
        <v>890</v>
      </c>
      <c r="C45" s="574"/>
      <c r="D45" s="334" t="s">
        <v>891</v>
      </c>
      <c r="E45" s="574" t="s">
        <v>892</v>
      </c>
      <c r="F45" s="574"/>
      <c r="G45" s="589"/>
    </row>
    <row r="46" spans="1:17">
      <c r="A46" s="579"/>
      <c r="B46" s="580"/>
      <c r="C46" s="580"/>
      <c r="D46" s="580"/>
      <c r="E46" s="580"/>
      <c r="F46" s="580"/>
      <c r="G46" s="581"/>
      <c r="J46" s="16" t="s">
        <v>379</v>
      </c>
      <c r="K46" s="16" t="s">
        <v>893</v>
      </c>
      <c r="L46" s="16" t="s">
        <v>894</v>
      </c>
      <c r="M46" s="16" t="s">
        <v>895</v>
      </c>
    </row>
    <row r="47" spans="1:17">
      <c r="A47" s="335" t="s">
        <v>896</v>
      </c>
      <c r="B47" s="336" t="s">
        <v>861</v>
      </c>
      <c r="C47" s="175" t="s">
        <v>897</v>
      </c>
      <c r="D47" s="175" t="s">
        <v>898</v>
      </c>
      <c r="E47" s="176" t="s">
        <v>899</v>
      </c>
      <c r="F47" s="165"/>
      <c r="G47" s="190" t="s">
        <v>900</v>
      </c>
      <c r="J47" t="str">
        <f ca="1">IF(LEFT(P!C59,FIND("/",P!C59,1)-1)=K47,"-",LEFT(P!C59,FIND("/",P!C59,1)-1))</f>
        <v>1157</v>
      </c>
      <c r="K47" t="str">
        <f ca="1">TRIM(RIGHT(P!C59,LEN(P!C59)-FIND("/",P!C59,1)))</f>
        <v>1102</v>
      </c>
      <c r="L47">
        <f ca="1">D70+D71+1</f>
        <v>5</v>
      </c>
      <c r="M47">
        <f ca="1">IF(ISERROR(ROUND((J47-K47)/D70,1)),"",ROUND((J47-K47)/D70,1))</f>
        <v>27.5</v>
      </c>
      <c r="N47">
        <f ca="1">IF(ISERROR(ROUND(J47-(L47-1)*M47,0)),"-",ROUND(J47-(L47-1)*M47,0))</f>
        <v>1047</v>
      </c>
      <c r="O47">
        <f ca="1">_xlfn.FLOOR.MATH(L47/2)+2</f>
        <v>4</v>
      </c>
      <c r="P47">
        <f ca="1">O47+1</f>
        <v>5</v>
      </c>
    </row>
    <row r="48" spans="1:17">
      <c r="A48" s="189">
        <v>1</v>
      </c>
      <c r="B48" s="175">
        <v>0</v>
      </c>
      <c r="C48" s="165" t="s">
        <v>901</v>
      </c>
      <c r="D48" s="175">
        <f ca="1">Q!B46</f>
        <v>4000</v>
      </c>
      <c r="E48" s="176">
        <f ca="1">D48</f>
        <v>4000</v>
      </c>
      <c r="F48" s="165" t="s">
        <v>902</v>
      </c>
      <c r="G48" s="190" t="str">
        <f ca="1">Q!C209</f>
        <v xml:space="preserve">603.53 </v>
      </c>
    </row>
    <row r="49" spans="1:11">
      <c r="A49" s="189">
        <v>2</v>
      </c>
      <c r="B49" s="175">
        <f ca="1">IF(A49&lt;L$47+2,N47,IF(A49=L$47+2,J47," "))</f>
        <v>1047</v>
      </c>
      <c r="C49" s="165"/>
      <c r="D49" s="175"/>
      <c r="E49" s="176"/>
      <c r="F49" s="165" t="s">
        <v>903</v>
      </c>
      <c r="G49" s="190" t="str">
        <f ca="1">Q!C213</f>
        <v xml:space="preserve">1905.56 </v>
      </c>
    </row>
    <row r="50" spans="1:11">
      <c r="A50" s="189">
        <v>3</v>
      </c>
      <c r="B50" s="175">
        <f ca="1">IF(A50&lt;L$47+2,IF(P$47=A50,B49,IF(AND(-1&lt;(B49+M$47-K$47),((B49+M$47-K$47)&lt;1)),K$47,ROUNDUP(B49+M$47,0))),IF(A50=L$47+2,J47," "))</f>
        <v>1075</v>
      </c>
      <c r="C50" s="165" t="s">
        <v>904</v>
      </c>
      <c r="D50" s="175" t="str">
        <f ca="1">Q!D84&amp;" @ 75 C"</f>
        <v>10273  @ 75 C</v>
      </c>
      <c r="E50" s="337">
        <v>16805</v>
      </c>
      <c r="F50" s="165" t="s">
        <v>905</v>
      </c>
      <c r="G50" s="190">
        <f ca="1">Q!B217</f>
        <v>184.32999999999998</v>
      </c>
    </row>
    <row r="51" spans="1:11">
      <c r="A51" s="189">
        <v>4</v>
      </c>
      <c r="B51" s="175" t="str">
        <f ca="1">IF(A51&lt;L$47+2,IF(P$47=A51,B50,IF(AND(-1&lt;(B50+M$47-K$47),((B50+M$47-K$47)&lt;1)),K$47,ROUNDUP(B50+M$47,0))),IF(A51=L$47+2,J47," "))</f>
        <v>1102</v>
      </c>
      <c r="C51" s="165" t="s">
        <v>906</v>
      </c>
      <c r="D51" s="175" t="e">
        <f ca="1">Q!D85</f>
        <v>#VALUE!</v>
      </c>
      <c r="E51" s="337">
        <v>2990</v>
      </c>
      <c r="F51" s="165" t="s">
        <v>907</v>
      </c>
      <c r="G51" s="190">
        <f ca="1">G48+G49+G50</f>
        <v>2693.42</v>
      </c>
    </row>
    <row r="52" spans="1:11">
      <c r="A52" s="189">
        <v>5</v>
      </c>
      <c r="B52" s="175" t="str">
        <f ca="1">IF(A52&lt;L$47+2,IF(P$47=A52,B51,IF(AND(-1&lt;(B51+M$47-K$47),((B51+M$47-K$47)&lt;1)),K$47,ROUNDUP(B51+M$47,0))),IF(A52=L$47+2,J47," "))</f>
        <v>1102</v>
      </c>
      <c r="C52" s="165"/>
      <c r="D52" s="175"/>
      <c r="E52" s="176"/>
      <c r="F52" s="165" t="s">
        <v>908</v>
      </c>
      <c r="G52" s="190">
        <f ca="1">VALUE(LEFT(P!E31,FIND("k",P!E31,1)-1))</f>
        <v>3500</v>
      </c>
    </row>
    <row r="53" spans="1:11">
      <c r="A53" s="189">
        <v>6</v>
      </c>
      <c r="B53" s="175">
        <f ca="1">IF(A53&lt;L$47+2,IF(P$47=A53,B52,IF(AND(-1&lt;(B52+M$47-K$47),((B52+M$47-K$47)&lt;1)),K$47,ROUNDUP(B52+M$47,0))),IF(A53=L$47+2,J47," "))</f>
        <v>1130</v>
      </c>
      <c r="C53" s="165" t="s">
        <v>909</v>
      </c>
      <c r="D53" s="175" t="e">
        <f ca="1">Q!D84+D51&amp;" @ 75 C"</f>
        <v>#VALUE!</v>
      </c>
      <c r="E53" s="176"/>
      <c r="F53" s="165" t="s">
        <v>910</v>
      </c>
      <c r="G53" s="190">
        <f ca="1">Q!D148</f>
        <v>10.31</v>
      </c>
    </row>
    <row r="54" spans="1:11">
      <c r="A54" s="189">
        <v>7</v>
      </c>
      <c r="B54" s="175" t="str">
        <f ca="1">IF(A54&lt;L$47+2,IF(P$47=A54,B53,IF(AND(-1&lt;(B53+M$47-K$47),((B53+M$47-K$47)&lt;1)),K$47,ROUNDUP(B53+M$47,0))),IF(A54=L$47+2,J47," "))</f>
        <v>1157</v>
      </c>
      <c r="C54" s="165" t="s">
        <v>911</v>
      </c>
      <c r="D54" s="175">
        <f ca="1">ROUND(Q!J85,3)</f>
        <v>7.6879999999999997</v>
      </c>
      <c r="E54" s="176"/>
      <c r="F54" s="165" t="s">
        <v>912</v>
      </c>
      <c r="G54" s="190" t="str">
        <f ca="1">Q!D154</f>
        <v>67.95</v>
      </c>
    </row>
    <row r="55" spans="1:11">
      <c r="A55" s="189">
        <v>8</v>
      </c>
      <c r="B55" s="175" t="str">
        <f ca="1">IF(A55&lt;L$47+2,IF(P$47=A55,B54,IF(AND(-5&lt;(B54+M$47-K$47),((B54+M$47-K$47)&lt;5)),K$47,ROUNDUP(B54+M$47,0))),IF(A55=L$47+2,J47," "))</f>
        <v xml:space="preserve"> </v>
      </c>
      <c r="C55" s="165" t="s">
        <v>913</v>
      </c>
      <c r="D55" s="175">
        <f ca="1">Q!F83</f>
        <v>7.6920000000000002</v>
      </c>
      <c r="E55" s="338" t="e">
        <f ca="1">Q!G83</f>
        <v>#VALUE!</v>
      </c>
      <c r="F55" s="165" t="s">
        <v>914</v>
      </c>
      <c r="G55" s="190" t="str">
        <f ca="1">LEFT(P!C92,FIND("k",P!C92,1)-1)</f>
        <v xml:space="preserve">6310 </v>
      </c>
    </row>
    <row r="56" spans="1:11" ht="14.25" customHeight="1">
      <c r="A56" s="189">
        <v>9</v>
      </c>
      <c r="B56" s="175" t="str">
        <f ca="1">IF(A56&lt;L$47+2,IF(P$47=A56,B55,IF(AND(-5&lt;(B55+M$47-K$47),((B55+M$47-K$47)&lt;5)),K$47,ROUNDUP(B55+M$47,0))),IF(A56=L$47+2,J47," "))</f>
        <v xml:space="preserve"> </v>
      </c>
      <c r="C56" s="165" t="s">
        <v>915</v>
      </c>
      <c r="D56" s="201">
        <f>Techspecs!H30</f>
        <v>0.51</v>
      </c>
      <c r="E56" s="176"/>
      <c r="F56" s="346" t="s">
        <v>916</v>
      </c>
      <c r="G56" s="345" t="str">
        <f ca="1">LEFT(P!C94,FIND("k",P!C94,1)-1)</f>
        <v xml:space="preserve">2828 </v>
      </c>
    </row>
    <row r="57" spans="1:11" ht="13.5" customHeight="1">
      <c r="A57" s="189">
        <v>10</v>
      </c>
      <c r="B57" s="175" t="str">
        <f ca="1">IF(A57&lt;L$47+2,IF(P$47=A57,B56,IF(AND(-5&lt;(B56+M$47-K$47),((B56+M$47-K$47)&lt;5)),K$47,ROUNDUP(B56+M$47,0))),IF(A57=L$47+2,J47," "))</f>
        <v xml:space="preserve"> </v>
      </c>
      <c r="C57" s="165" t="s">
        <v>917</v>
      </c>
      <c r="D57" s="311" t="e">
        <f ca="1">IF(LEFT(P!F117,3)&lt;&gt;"TOP",VALUE(LEFT(P!H116,FIND("d",P!H116,1)-1)),VALUE(LEFT(P!H117,FIND("d",P!H117,1)-1)))</f>
        <v>#VALUE!</v>
      </c>
      <c r="E57" s="311">
        <f ca="1">Techspecs!H27</f>
        <v>55</v>
      </c>
      <c r="F57" s="165" t="s">
        <v>918</v>
      </c>
      <c r="G57" s="190">
        <f ca="1">Q!B236</f>
        <v>1205</v>
      </c>
    </row>
    <row r="58" spans="1:11">
      <c r="A58" s="189">
        <v>11</v>
      </c>
      <c r="B58" s="175" t="str">
        <f ca="1">IF(A58&lt;L$47+2,IF(P$47=A58,B57,IF(AND(-5&lt;(B57+M$47-K$47),((B57+M$47-K$47)&lt;5)),K$47,ROUNDUP(B57+M$47,0))),IF(A58=L$47+2,J47," "))</f>
        <v xml:space="preserve"> </v>
      </c>
      <c r="C58" s="165" t="s">
        <v>919</v>
      </c>
      <c r="D58" s="311" t="str">
        <f ca="1">IF(J58&gt;K58,J58,K58)</f>
        <v>60.5</v>
      </c>
      <c r="E58" s="311">
        <f>Techspecs!H26</f>
        <v>50</v>
      </c>
      <c r="F58" s="177" t="s">
        <v>920</v>
      </c>
      <c r="G58" s="190" t="str">
        <f ca="1">LEFT(P!C97,FIND("k",P!C97,1)-1)</f>
        <v xml:space="preserve">12985 </v>
      </c>
      <c r="J58" t="str">
        <f ca="1">LEFT(P!C51,FIND("/",P!C51,1)-1)</f>
        <v>60.5</v>
      </c>
      <c r="K58" t="str">
        <f ca="1">LEFT(P!C66,FIND("/",P!C66,1)-1)</f>
        <v>50.3</v>
      </c>
    </row>
    <row r="59" spans="1:11" ht="12.75" customHeight="1">
      <c r="A59" s="189">
        <v>12</v>
      </c>
      <c r="B59" s="175" t="str">
        <f ca="1">IF(A59&lt;L$47+2,IF(P$47=A59,B58,IF(AND(-5&lt;(B58+M$47-K$47),((B58+M$47-K$47)&lt;5)),K$47,ROUNDUP(B58+M$47,0))),IF(A59=L$47+2,J47," "))</f>
        <v xml:space="preserve"> </v>
      </c>
      <c r="C59" s="165" t="s">
        <v>921</v>
      </c>
      <c r="D59" s="175">
        <f ca="1">ROUND(Q!J85/Q!K85,0)</f>
        <v>30</v>
      </c>
      <c r="E59" s="176"/>
      <c r="F59" s="347" t="s">
        <v>922</v>
      </c>
      <c r="G59" s="345" t="e">
        <f ca="1">ROUND(G56*0.00075*0.8*D57/0.87,0)&amp;" L"</f>
        <v>#VALUE!</v>
      </c>
    </row>
    <row r="60" spans="1:11">
      <c r="A60" s="584"/>
      <c r="B60" s="585"/>
      <c r="C60" s="585"/>
      <c r="D60" s="585"/>
      <c r="E60" s="585"/>
      <c r="F60" s="585"/>
      <c r="G60" s="586"/>
    </row>
    <row r="61" spans="1:11" ht="12.75" customHeight="1">
      <c r="A61" s="341" t="s">
        <v>923</v>
      </c>
      <c r="B61" s="587" t="str">
        <f ca="1">"LENGTH (mm) : "&amp;Q!B94</f>
        <v>LENGTH (mm) : 2093</v>
      </c>
      <c r="C61" s="587"/>
      <c r="D61" s="342"/>
      <c r="E61" s="342" t="s">
        <v>924</v>
      </c>
      <c r="F61" s="343">
        <f ca="1">Q!B95</f>
        <v>936</v>
      </c>
      <c r="G61" s="344" t="str">
        <f ca="1">"HEIGHT (mm) : "&amp;Q!B96</f>
        <v>HEIGHT (mm) : 1811</v>
      </c>
    </row>
    <row r="62" spans="1:11" ht="12.75" customHeight="1">
      <c r="A62" s="607"/>
      <c r="B62" s="608"/>
      <c r="C62" s="608"/>
      <c r="D62" s="608"/>
      <c r="E62" s="622"/>
      <c r="F62" s="330" t="str">
        <f ca="1">"CORRUG. L.S DEPTH (mm) :  "&amp;IF(Q!B278="NO",VALUE(Q!B299)," ")</f>
        <v xml:space="preserve">CORRUG. L.S DEPTH (mm) :   </v>
      </c>
      <c r="G62" s="313" t="str">
        <f ca="1">"NO.:                          "&amp;IF(Q!B278="NO",VALUE(LEFT(P!H95,FIND("/",P!H95,1)-1))," ")</f>
        <v xml:space="preserve">NO.:                           </v>
      </c>
    </row>
    <row r="63" spans="1:11" ht="12.75" customHeight="1">
      <c r="A63" s="573" t="s">
        <v>925</v>
      </c>
      <c r="B63" s="574"/>
      <c r="C63" s="315">
        <f ca="1">Q!B301</f>
        <v>0</v>
      </c>
      <c r="D63" s="574"/>
      <c r="E63" s="575"/>
      <c r="F63" s="330" t="str">
        <f ca="1">"CORRUG. S.S DEPTH (mm)  :  "&amp;IF(Q!B278="NO",VALUE(Q!B300)," ")</f>
        <v xml:space="preserve">CORRUG. S.S DEPTH (mm)  :   </v>
      </c>
      <c r="G63" s="314" t="str">
        <f ca="1">"NO.:                          "&amp;IF(Q!B278="NO",VALUE(MID(P!H95,FIND("/",P!H95,1)+1,FIND("/",P!H95,FIND("/",P!H95,1)+1)-FIND("/",P!H95,1)-1))," ")</f>
        <v xml:space="preserve">NO.:                           </v>
      </c>
    </row>
    <row r="64" spans="1:11" ht="12.75" customHeight="1">
      <c r="A64" s="573" t="s">
        <v>926</v>
      </c>
      <c r="B64" s="574"/>
      <c r="C64" s="339">
        <f ca="1">IF(Q!B280=0,"",Q!B280)</f>
        <v>6</v>
      </c>
      <c r="D64" s="571" t="s">
        <v>927</v>
      </c>
      <c r="E64" s="608"/>
      <c r="F64" s="166" t="str">
        <f ca="1">IF(Q!B278="NO"," ",Q!B282)</f>
        <v>1300</v>
      </c>
      <c r="G64" s="332"/>
    </row>
    <row r="65" spans="1:8" ht="13.15" customHeight="1">
      <c r="A65" s="573" t="s">
        <v>928</v>
      </c>
      <c r="B65" s="574"/>
      <c r="C65" s="329">
        <f ca="1">IF(Q!B278="NO"," ",Q!B280)</f>
        <v>6</v>
      </c>
      <c r="D65" s="574" t="s">
        <v>929</v>
      </c>
      <c r="E65" s="575"/>
      <c r="F65" s="571"/>
      <c r="G65" s="572"/>
      <c r="H65" t="s">
        <v>930</v>
      </c>
    </row>
    <row r="66" spans="1:8">
      <c r="A66" s="607"/>
      <c r="B66" s="608"/>
      <c r="C66" s="609"/>
      <c r="D66" s="608"/>
      <c r="E66" s="608"/>
      <c r="F66" s="608"/>
      <c r="G66" s="572"/>
      <c r="H66" t="s">
        <v>931</v>
      </c>
    </row>
    <row r="67" spans="1:8">
      <c r="A67" s="624" t="s">
        <v>932</v>
      </c>
      <c r="B67" s="625"/>
      <c r="C67" s="625"/>
      <c r="D67" s="625"/>
      <c r="E67" s="625"/>
      <c r="F67" s="625"/>
      <c r="G67" s="626"/>
    </row>
    <row r="68" spans="1:8">
      <c r="A68" s="192" t="s">
        <v>241</v>
      </c>
      <c r="B68" s="311">
        <f ca="1">D48</f>
        <v>4000</v>
      </c>
      <c r="C68" s="165" t="s">
        <v>933</v>
      </c>
      <c r="D68" s="311" t="str">
        <f ca="1">Q!B79</f>
        <v>Dyn11</v>
      </c>
      <c r="E68" s="165" t="s">
        <v>434</v>
      </c>
      <c r="F68" s="175" t="str">
        <f ca="1">MID(P!C18,FIND("O",P!C18,1),4)</f>
        <v>ONAN</v>
      </c>
      <c r="G68" s="191" t="s">
        <v>934</v>
      </c>
    </row>
    <row r="69" spans="1:8" ht="12.75" customHeight="1">
      <c r="A69" s="192" t="s">
        <v>935</v>
      </c>
      <c r="B69" s="311">
        <f ca="1">Q!B61</f>
        <v>3</v>
      </c>
      <c r="C69" s="165" t="s">
        <v>752</v>
      </c>
      <c r="D69" s="311" t="str">
        <f ca="1">Q!B60</f>
        <v>50</v>
      </c>
      <c r="E69" s="602" t="str">
        <f ca="1">"VOLTAGE RATIO : "&amp;ROUND((VALUE(RIGHT(F10,LEN(F10)-FIND("/",F10,1)))/VALUE(RIGHT(C10,LEN(C10)-FIND("/",C10,1)))),3)</f>
        <v>VOLTAGE RATIO : 137.73</v>
      </c>
      <c r="F69" s="575"/>
      <c r="G69" s="191" t="str">
        <f>"TYPE OF UNIT :"&amp;" "&amp;H69</f>
        <v>TYPE OF UNIT : Hermetically sealed</v>
      </c>
      <c r="H69" s="185" t="s">
        <v>802</v>
      </c>
    </row>
    <row r="70" spans="1:8" ht="13.5" customHeight="1">
      <c r="A70" s="610" t="s">
        <v>936</v>
      </c>
      <c r="B70" s="617"/>
      <c r="C70" s="165" t="s">
        <v>937</v>
      </c>
      <c r="D70" s="340">
        <f ca="1">Q!B63</f>
        <v>2</v>
      </c>
      <c r="E70" s="602" t="str">
        <f ca="1">"IN STEPS OF :              "&amp;Q!B65&amp;" %"</f>
        <v>IN STEPS OF :              2.5 %</v>
      </c>
      <c r="F70" s="574"/>
      <c r="G70" s="589"/>
    </row>
    <row r="71" spans="1:8" ht="13.5" customHeight="1">
      <c r="A71" s="607"/>
      <c r="B71" s="622"/>
      <c r="C71" s="165" t="s">
        <v>938</v>
      </c>
      <c r="D71" s="340">
        <f ca="1">Q!C64</f>
        <v>2</v>
      </c>
      <c r="E71" s="623" t="str">
        <f>"TAP CHANGER TYPE :    "&amp;IF('Bill of Materials'!L62=0,Q!B348,'Bill of Materials'!L62)</f>
        <v>TAP CHANGER TYPE :    HM 25.44.885 (30kV 63A 131mm 5 Pos)</v>
      </c>
      <c r="F71" s="620"/>
      <c r="G71" s="621"/>
    </row>
    <row r="72" spans="1:8" ht="13.5" customHeight="1">
      <c r="A72" s="207"/>
      <c r="B72" s="209"/>
      <c r="C72" s="166"/>
      <c r="D72" s="208"/>
      <c r="E72" s="210"/>
      <c r="F72" s="210"/>
      <c r="G72" s="211"/>
    </row>
    <row r="73" spans="1:8" ht="13.5" customHeight="1">
      <c r="A73" s="618" t="s">
        <v>939</v>
      </c>
      <c r="B73" s="619"/>
      <c r="C73" s="620" t="str">
        <f>""&amp;IF(Techspecs!C56="Y","ISD","")&amp;IF(Techspecs!C58="Y"," / OLI","")&amp;IF(Techspecs!C61="Y"," / WTI","")</f>
        <v>ISD</v>
      </c>
      <c r="D73" s="620"/>
      <c r="E73" s="620"/>
      <c r="F73" s="620"/>
      <c r="G73" s="621"/>
    </row>
    <row r="74" spans="1:8" ht="13.5" customHeight="1">
      <c r="A74" s="207"/>
      <c r="B74" s="209"/>
      <c r="C74" s="166"/>
      <c r="D74" s="208"/>
      <c r="E74" s="210"/>
      <c r="F74" s="210"/>
      <c r="G74" s="211"/>
    </row>
    <row r="75" spans="1:8">
      <c r="A75" s="610" t="s">
        <v>940</v>
      </c>
      <c r="B75" s="611"/>
      <c r="C75" s="611"/>
      <c r="D75" s="611"/>
      <c r="E75" s="611"/>
      <c r="F75" s="611"/>
      <c r="G75" s="612"/>
    </row>
    <row r="76" spans="1:8">
      <c r="A76" s="613"/>
      <c r="B76" s="614"/>
      <c r="C76" s="614"/>
      <c r="D76" s="614"/>
      <c r="E76" s="614"/>
      <c r="F76" s="615"/>
      <c r="G76" s="616"/>
    </row>
    <row r="77" spans="1:8" ht="12.75" customHeight="1">
      <c r="A77" s="193" t="s">
        <v>941</v>
      </c>
      <c r="B77" s="603" t="str">
        <f>":    "&amp;Techspecs!C6</f>
        <v>:    Uganda - LMB procurement</v>
      </c>
      <c r="C77" s="603"/>
      <c r="D77" s="604"/>
      <c r="E77" s="180" t="s">
        <v>942</v>
      </c>
      <c r="F77" s="178" t="s">
        <v>42</v>
      </c>
      <c r="G77" s="194" t="s">
        <v>943</v>
      </c>
    </row>
    <row r="78" spans="1:8" ht="12.75" customHeight="1">
      <c r="A78" s="188" t="s">
        <v>944</v>
      </c>
      <c r="B78" s="605" t="str">
        <f ca="1">":    "&amp;Techspecs!F8</f>
        <v>:    400033415</v>
      </c>
      <c r="C78" s="605"/>
      <c r="D78" s="606"/>
      <c r="E78" s="180" t="s">
        <v>945</v>
      </c>
      <c r="F78" s="179" t="s">
        <v>42</v>
      </c>
      <c r="G78" s="195" t="s">
        <v>943</v>
      </c>
    </row>
    <row r="79" spans="1:8" ht="12.75" customHeight="1">
      <c r="A79" s="196" t="s">
        <v>946</v>
      </c>
      <c r="B79" s="184" t="str">
        <f>":    "&amp;Techspecs!C8</f>
        <v xml:space="preserve">:    </v>
      </c>
      <c r="C79" s="183"/>
      <c r="D79" s="182"/>
      <c r="E79" s="181" t="s">
        <v>947</v>
      </c>
      <c r="F79" s="197" t="s">
        <v>42</v>
      </c>
      <c r="G79" s="195" t="s">
        <v>943</v>
      </c>
    </row>
    <row r="80" spans="1:8" ht="12.75" customHeight="1" thickBot="1">
      <c r="A80" s="599"/>
      <c r="B80" s="600"/>
      <c r="C80" s="600"/>
      <c r="D80" s="600"/>
      <c r="E80" s="600"/>
      <c r="F80" s="600"/>
      <c r="G80" s="601"/>
    </row>
    <row r="81" spans="1:19">
      <c r="A81" s="14"/>
      <c r="B81" s="14"/>
      <c r="C81" s="14"/>
      <c r="D81" s="14"/>
      <c r="E81" s="14"/>
      <c r="F81" s="14"/>
      <c r="G81" s="14"/>
      <c r="J81" s="16"/>
      <c r="K81" s="16"/>
      <c r="L81" s="16"/>
      <c r="M81" s="16"/>
    </row>
    <row r="82" spans="1:19">
      <c r="A82" s="167" t="s">
        <v>948</v>
      </c>
      <c r="B82" s="167"/>
      <c r="C82" s="167"/>
      <c r="D82" s="167"/>
      <c r="E82" s="167"/>
      <c r="F82" s="167"/>
      <c r="G82" s="167"/>
      <c r="P82" s="7"/>
      <c r="S82" s="7"/>
    </row>
    <row r="83" spans="1:19">
      <c r="P83" s="7"/>
      <c r="S83" s="7"/>
    </row>
    <row r="84" spans="1:19">
      <c r="C84" t="s">
        <v>949</v>
      </c>
      <c r="P84" s="7"/>
      <c r="S84" s="7"/>
    </row>
    <row r="85" spans="1:19">
      <c r="P85" s="7"/>
      <c r="S85" s="7"/>
    </row>
    <row r="86" spans="1:19">
      <c r="P86" s="7"/>
      <c r="S86" s="7"/>
    </row>
    <row r="87" spans="1:19">
      <c r="P87" s="7"/>
      <c r="S87" s="7"/>
    </row>
    <row r="88" spans="1:19">
      <c r="P88" s="7"/>
      <c r="S88" s="7"/>
    </row>
    <row r="89" spans="1:19">
      <c r="P89" s="7"/>
      <c r="S89" s="7"/>
    </row>
  </sheetData>
  <mergeCells count="142"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</mergeCells>
  <dataValidations count="2">
    <dataValidation type="list" allowBlank="1" showInputMessage="1" showErrorMessage="1" sqref="C13:G13" xr:uid="{00000000-0002-0000-0600-000000000000}">
      <formula1>$J$13:$J$17</formula1>
    </dataValidation>
    <dataValidation type="list" allowBlank="1" showInputMessage="1" showErrorMessage="1" sqref="F65:G65" xr:uid="{00000000-0002-0000-0600-000001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52"/>
  <sheetViews>
    <sheetView workbookViewId="0">
      <selection activeCell="C17" sqref="C17:G17"/>
    </sheetView>
  </sheetViews>
  <sheetFormatPr defaultRowHeight="12.75"/>
  <cols>
    <col min="1" max="1" width="14.5703125" customWidth="1"/>
    <col min="2" max="2" width="19.140625" customWidth="1"/>
    <col min="3" max="3" width="12.7109375" customWidth="1"/>
    <col min="4" max="4" width="14.5703125" customWidth="1"/>
    <col min="5" max="5" width="13.28515625" customWidth="1"/>
    <col min="6" max="6" width="34.7109375" customWidth="1"/>
    <col min="7" max="7" width="23.140625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9">
      <c r="A1" s="632" t="s">
        <v>848</v>
      </c>
      <c r="B1" s="632"/>
      <c r="C1" s="632"/>
      <c r="D1" s="632"/>
      <c r="E1" s="632"/>
      <c r="F1" s="632"/>
      <c r="G1" s="632"/>
    </row>
    <row r="2" spans="1:9" ht="15.75">
      <c r="A2" s="633" t="s">
        <v>849</v>
      </c>
      <c r="B2" s="633"/>
      <c r="C2" s="633"/>
      <c r="D2" s="633"/>
      <c r="E2" s="633"/>
      <c r="F2" s="633"/>
      <c r="G2" s="633"/>
    </row>
    <row r="3" spans="1:9">
      <c r="A3" s="632"/>
      <c r="B3" s="632"/>
      <c r="C3" s="632"/>
      <c r="D3" s="632"/>
      <c r="E3" s="632"/>
      <c r="F3" s="632"/>
      <c r="G3" s="632"/>
      <c r="H3" s="14"/>
    </row>
    <row r="4" spans="1:9">
      <c r="A4" s="668" t="s">
        <v>950</v>
      </c>
      <c r="B4" s="668"/>
      <c r="C4" s="668"/>
      <c r="D4" s="668"/>
      <c r="E4" s="668"/>
      <c r="F4" s="668"/>
      <c r="G4" s="668"/>
      <c r="H4" s="14"/>
    </row>
    <row r="5" spans="1:9">
      <c r="A5" s="651" t="s">
        <v>241</v>
      </c>
      <c r="B5" s="651"/>
      <c r="C5" s="651"/>
      <c r="D5" s="479">
        <f ca="1">Q!B46</f>
        <v>4000</v>
      </c>
      <c r="E5" s="480"/>
      <c r="F5" s="348" t="s">
        <v>933</v>
      </c>
      <c r="G5" s="363" t="str">
        <f ca="1">Q!B79</f>
        <v>Dyn11</v>
      </c>
      <c r="H5" s="14"/>
    </row>
    <row r="6" spans="1:9">
      <c r="A6" s="654" t="s">
        <v>935</v>
      </c>
      <c r="B6" s="670"/>
      <c r="C6" s="671"/>
      <c r="D6" s="479">
        <f ca="1">Q!B61</f>
        <v>3</v>
      </c>
      <c r="E6" s="480"/>
      <c r="F6" s="348" t="s">
        <v>752</v>
      </c>
      <c r="G6" s="363" t="str">
        <f ca="1">Q!B60</f>
        <v>50</v>
      </c>
      <c r="H6" s="14"/>
    </row>
    <row r="7" spans="1:9">
      <c r="A7" s="669" t="s">
        <v>853</v>
      </c>
      <c r="B7" s="669"/>
      <c r="C7" s="668" t="s">
        <v>196</v>
      </c>
      <c r="D7" s="668"/>
      <c r="E7" s="668"/>
      <c r="F7" s="668" t="s">
        <v>197</v>
      </c>
      <c r="G7" s="668"/>
      <c r="H7" s="14"/>
      <c r="I7" s="16"/>
    </row>
    <row r="8" spans="1:9">
      <c r="A8" s="641" t="s">
        <v>951</v>
      </c>
      <c r="B8" s="642"/>
      <c r="C8" s="643" t="s">
        <v>952</v>
      </c>
      <c r="D8" s="644"/>
      <c r="E8" s="645"/>
      <c r="F8" s="643" t="s">
        <v>952</v>
      </c>
      <c r="G8" s="645"/>
      <c r="H8" s="14"/>
      <c r="I8" s="16"/>
    </row>
    <row r="9" spans="1:9">
      <c r="A9" s="657" t="s">
        <v>854</v>
      </c>
      <c r="B9" s="657"/>
      <c r="C9" s="585" t="str">
        <f ca="1">Q!B48&amp;" / "&amp;ROUND(IF(Q!B76="yn",VALUE(Q!B48)/SQRT(3),VALUE(Q!B48)),3)</f>
        <v>415 / 239.6</v>
      </c>
      <c r="D9" s="585"/>
      <c r="E9" s="585"/>
      <c r="F9" s="585" t="str">
        <f ca="1">Q!B47&amp;" / "&amp;ROUND(IF(Q!B77="YN",VALUE(Q!B47)/SQRT(3),VALUE(Q!B47)),3)</f>
        <v>33000 / 33000</v>
      </c>
      <c r="G9" s="585"/>
      <c r="H9" s="14"/>
    </row>
    <row r="10" spans="1:9">
      <c r="A10" s="657" t="s">
        <v>855</v>
      </c>
      <c r="B10" s="657"/>
      <c r="C10" s="585" t="str">
        <f ca="1">Q!B50&amp;" / "&amp;ROUND(Q!B49,3)</f>
        <v>5564.822 / 5564.822</v>
      </c>
      <c r="D10" s="585"/>
      <c r="E10" s="585"/>
      <c r="F10" s="585" t="str">
        <f ca="1">Q!B54&amp;" / "&amp;ROUND(VALUE(RIGHT(Q!E53,Q!C53-Q!D53)),3)</f>
        <v>69.982 / 40.404</v>
      </c>
      <c r="G10" s="585"/>
      <c r="H10" s="14"/>
    </row>
    <row r="11" spans="1:9">
      <c r="A11" s="657" t="s">
        <v>856</v>
      </c>
      <c r="B11" s="657"/>
      <c r="C11" s="667" t="str">
        <f ca="1">IF(H11=0,Q!B76,H11)</f>
        <v>yn</v>
      </c>
      <c r="D11" s="667"/>
      <c r="E11" s="667"/>
      <c r="F11" s="667" t="str">
        <f ca="1">IF(I11=0,Q!B77,I11)</f>
        <v>D</v>
      </c>
      <c r="G11" s="667"/>
      <c r="H11" s="14"/>
      <c r="I11" s="14"/>
    </row>
    <row r="12" spans="1:9">
      <c r="A12" s="648" t="s">
        <v>953</v>
      </c>
      <c r="B12" s="649"/>
      <c r="C12" s="649"/>
      <c r="D12" s="649"/>
      <c r="E12" s="649"/>
      <c r="F12" s="649"/>
      <c r="G12" s="650"/>
      <c r="H12" s="14"/>
      <c r="I12" s="14"/>
    </row>
    <row r="13" spans="1:9">
      <c r="A13" s="657" t="s">
        <v>873</v>
      </c>
      <c r="B13" s="657"/>
      <c r="C13" s="585" t="str">
        <f ca="1">LEFT(P!E48,FIND("m",P!E48,1)-1)</f>
        <v xml:space="preserve">100.000 / 20.000 </v>
      </c>
      <c r="D13" s="585"/>
      <c r="E13" s="585"/>
      <c r="F13" s="585" t="str">
        <f ca="1">IF(ISERROR(Q!M47),0,IF(Q!M47&gt;0,DDOS!H31,IF(Q!M48&gt;0,DDOS!H33,IF(Q!M49&gt;0,DDOS!H34,DDOS!F27))))</f>
        <v>7/1.7 bare copper</v>
      </c>
      <c r="G13" s="585"/>
    </row>
    <row r="14" spans="1:9">
      <c r="A14" s="657" t="s">
        <v>875</v>
      </c>
      <c r="B14" s="657"/>
      <c r="C14" s="585" t="str">
        <f ca="1">LEFT(P!E49,FIND("m",P!E49,1)-1)</f>
        <v xml:space="preserve">100.000 / 20.000 </v>
      </c>
      <c r="D14" s="585"/>
      <c r="E14" s="585"/>
      <c r="F14" s="585" t="str">
        <f ca="1">IF(Q!N47&gt;0,DDOS!H31,IF(Q!N48&gt;0,DDOS!H33,IF(Q!N49&gt;0,DDOS!H34,DDOS!F27)))</f>
        <v>19/1.35 bare copper</v>
      </c>
      <c r="G14" s="585"/>
    </row>
    <row r="15" spans="1:9">
      <c r="A15" s="657" t="s">
        <v>886</v>
      </c>
      <c r="B15" s="657"/>
      <c r="C15" s="651" t="str">
        <f ca="1">IF('Bill of Materials'!L59=0,Q!B330,'Bill of Materials'!L59)&amp;" x "&amp;Q!F330</f>
        <v>EN 3150 x 8</v>
      </c>
      <c r="D15" s="651"/>
      <c r="E15" s="651"/>
      <c r="F15" s="651" t="str">
        <f ca="1">IF('Bill of Materials'!L56=0,Q!B311,'Bill of Materials'!L56)&amp;" x "&amp;Q!F311</f>
        <v>Plug-in Type 36 kV 630 A Interface C x 3</v>
      </c>
      <c r="G15" s="651"/>
    </row>
    <row r="16" spans="1:9">
      <c r="A16" s="641" t="s">
        <v>954</v>
      </c>
      <c r="B16" s="658"/>
      <c r="C16" s="651" t="str">
        <f ca="1">LEFT(P!C94,FIND("k",P!C94,1)-1)</f>
        <v xml:space="preserve">2828 </v>
      </c>
      <c r="D16" s="651"/>
      <c r="E16" s="651"/>
      <c r="F16" s="651"/>
      <c r="G16" s="651"/>
    </row>
    <row r="17" spans="1:7">
      <c r="A17" s="641" t="s">
        <v>955</v>
      </c>
      <c r="B17" s="658"/>
      <c r="C17" s="651" t="e">
        <f ca="1">ROUND(C16*0.00075*0.8*C27/0.87,0)</f>
        <v>#VALUE!</v>
      </c>
      <c r="D17" s="651"/>
      <c r="E17" s="651"/>
      <c r="F17" s="651"/>
      <c r="G17" s="651"/>
    </row>
    <row r="18" spans="1:7">
      <c r="A18" s="657" t="s">
        <v>923</v>
      </c>
      <c r="B18" s="362" t="s">
        <v>956</v>
      </c>
      <c r="C18" s="651">
        <f ca="1">Q!B94</f>
        <v>2093</v>
      </c>
      <c r="D18" s="651"/>
      <c r="E18" s="651"/>
      <c r="F18" s="651"/>
      <c r="G18" s="651"/>
    </row>
    <row r="19" spans="1:7">
      <c r="A19" s="657"/>
      <c r="B19" s="362" t="s">
        <v>957</v>
      </c>
      <c r="C19" s="651">
        <f ca="1">Q!B95</f>
        <v>936</v>
      </c>
      <c r="D19" s="651"/>
      <c r="E19" s="651"/>
      <c r="F19" s="651"/>
      <c r="G19" s="651"/>
    </row>
    <row r="20" spans="1:7">
      <c r="A20" s="657"/>
      <c r="B20" s="362" t="s">
        <v>958</v>
      </c>
      <c r="C20" s="651">
        <f ca="1">Q!B96</f>
        <v>1811</v>
      </c>
      <c r="D20" s="651"/>
      <c r="E20" s="651"/>
      <c r="F20" s="651"/>
      <c r="G20" s="651"/>
    </row>
    <row r="21" spans="1:7">
      <c r="A21" s="657" t="s">
        <v>959</v>
      </c>
      <c r="B21" s="657"/>
      <c r="C21" s="479">
        <f ca="1">Q!B301</f>
        <v>0</v>
      </c>
      <c r="D21" s="652"/>
      <c r="E21" s="652"/>
      <c r="F21" s="652"/>
      <c r="G21" s="480"/>
    </row>
    <row r="22" spans="1:7">
      <c r="A22" s="657" t="s">
        <v>960</v>
      </c>
      <c r="B22" s="657"/>
      <c r="C22" s="652" t="str">
        <f ca="1">IF(Q!B278="NO",VALUE(Q!B299)," ")</f>
        <v xml:space="preserve"> </v>
      </c>
      <c r="D22" s="652"/>
      <c r="E22" s="652"/>
      <c r="F22" s="652"/>
      <c r="G22" s="480"/>
    </row>
    <row r="23" spans="1:7">
      <c r="A23" s="657" t="s">
        <v>961</v>
      </c>
      <c r="B23" s="657"/>
      <c r="C23" s="652" t="str">
        <f ca="1">IF(Q!B278="NO",VALUE(Q!B300)," ")</f>
        <v xml:space="preserve"> </v>
      </c>
      <c r="D23" s="652"/>
      <c r="E23" s="652"/>
      <c r="F23" s="652"/>
      <c r="G23" s="480"/>
    </row>
    <row r="24" spans="1:7">
      <c r="A24" s="657" t="s">
        <v>962</v>
      </c>
      <c r="B24" s="657"/>
      <c r="C24" s="652" t="str">
        <f ca="1">IF(Q!B278="NO",VALUE(LEFT(P!H95,FIND("/",P!H95,1)-1))," ")&amp;" / "&amp;IF(Q!B278="NO",VALUE(MID(P!H95,FIND("/",P!H95,1)+1,FIND("/",P!H95,FIND("/",P!H95,1)+1)-FIND("/",P!H95,1)-1))," ")</f>
        <v xml:space="preserve">  /  </v>
      </c>
      <c r="D24" s="652"/>
      <c r="E24" s="652"/>
      <c r="F24" s="652"/>
      <c r="G24" s="480"/>
    </row>
    <row r="25" spans="1:7">
      <c r="A25" s="648" t="s">
        <v>963</v>
      </c>
      <c r="B25" s="649"/>
      <c r="C25" s="649"/>
      <c r="D25" s="649"/>
      <c r="E25" s="649"/>
      <c r="F25" s="649"/>
      <c r="G25" s="650"/>
    </row>
    <row r="26" spans="1:7">
      <c r="A26" s="657" t="s">
        <v>884</v>
      </c>
      <c r="B26" s="657"/>
      <c r="C26" s="651" t="str">
        <f ca="1">LEFT(P!H51,FIND("@",P!H51,1)-1)*(1+Q!B66)&amp;" @ 75 C"</f>
        <v>8.61E-50 @ 75 C</v>
      </c>
      <c r="D26" s="651"/>
      <c r="E26" s="651"/>
      <c r="F26" s="651" t="str">
        <f ca="1">LEFT(P!H66,FIND("@",P!H66,1)-1)*(1+Q!B66)&amp;" @ 75 C"</f>
        <v>1.2075 @ 75 C</v>
      </c>
      <c r="G26" s="651"/>
    </row>
    <row r="27" spans="1:7" ht="15" customHeight="1">
      <c r="A27" s="653" t="s">
        <v>917</v>
      </c>
      <c r="B27" s="363" t="s">
        <v>898</v>
      </c>
      <c r="C27" s="652" t="e">
        <f ca="1">IF(LEFT(P!F117,3)&lt;&gt;"TOP",VALUE(LEFT(P!H116,FIND("d",P!H116,1)-1)),VALUE(LEFT(P!H117,FIND("d",P!H117,1)-1)))</f>
        <v>#VALUE!</v>
      </c>
      <c r="D27" s="652"/>
      <c r="E27" s="652"/>
      <c r="F27" s="652"/>
      <c r="G27" s="480"/>
    </row>
    <row r="28" spans="1:7" ht="15" customHeight="1">
      <c r="A28" s="654"/>
      <c r="B28" s="363" t="s">
        <v>899</v>
      </c>
      <c r="C28" s="652">
        <f ca="1">Techspecs!H27</f>
        <v>55</v>
      </c>
      <c r="D28" s="652"/>
      <c r="E28" s="652"/>
      <c r="F28" s="652"/>
      <c r="G28" s="480"/>
    </row>
    <row r="29" spans="1:7" ht="15" customHeight="1">
      <c r="A29" s="655" t="s">
        <v>919</v>
      </c>
      <c r="B29" s="363" t="s">
        <v>898</v>
      </c>
      <c r="C29" s="652" t="str">
        <f ca="1">IF(DDOS!J58&gt;DDOS!K58,DDOS!J58,DDOS!K58)</f>
        <v>60.5</v>
      </c>
      <c r="D29" s="652"/>
      <c r="E29" s="652"/>
      <c r="F29" s="652"/>
      <c r="G29" s="480"/>
    </row>
    <row r="30" spans="1:7" ht="15" customHeight="1">
      <c r="A30" s="656"/>
      <c r="B30" s="363" t="s">
        <v>899</v>
      </c>
      <c r="C30" s="652">
        <f>Techspecs!H26</f>
        <v>50</v>
      </c>
      <c r="D30" s="652"/>
      <c r="E30" s="652"/>
      <c r="F30" s="652"/>
      <c r="G30" s="480"/>
    </row>
    <row r="31" spans="1:7" ht="15" customHeight="1">
      <c r="A31" s="648" t="s">
        <v>964</v>
      </c>
      <c r="B31" s="649"/>
      <c r="C31" s="649"/>
      <c r="D31" s="649"/>
      <c r="E31" s="649"/>
      <c r="F31" s="649"/>
      <c r="G31" s="650"/>
    </row>
    <row r="32" spans="1:7" ht="15" customHeight="1">
      <c r="A32" s="651" t="s">
        <v>965</v>
      </c>
      <c r="B32" s="651"/>
      <c r="C32" s="652" t="str">
        <f>IF('Bill of Materials'!L62=0,Q!B348,'Bill of Materials'!L62)</f>
        <v>HM 25.44.885 (30kV 63A 131mm 5 Pos)</v>
      </c>
      <c r="D32" s="652"/>
      <c r="E32" s="652"/>
      <c r="F32" s="652"/>
      <c r="G32" s="480"/>
    </row>
    <row r="33" spans="1:19" ht="15" customHeight="1">
      <c r="A33" s="479" t="s">
        <v>966</v>
      </c>
      <c r="B33" s="480"/>
      <c r="C33" s="479" t="str">
        <f ca="1">Q!B65&amp;" %"</f>
        <v>2.5 %</v>
      </c>
      <c r="D33" s="652"/>
      <c r="E33" s="652"/>
      <c r="F33" s="652"/>
      <c r="G33" s="480"/>
    </row>
    <row r="34" spans="1:19" ht="15" customHeight="1">
      <c r="A34" s="479" t="s">
        <v>967</v>
      </c>
      <c r="B34" s="480"/>
      <c r="C34" s="479" t="str">
        <f ca="1">Q!B63&amp;" / "&amp;Q!C64</f>
        <v>2 / 2</v>
      </c>
      <c r="D34" s="652"/>
      <c r="E34" s="652"/>
      <c r="F34" s="652"/>
      <c r="G34" s="480"/>
    </row>
    <row r="35" spans="1:19">
      <c r="A35" s="648" t="s">
        <v>939</v>
      </c>
      <c r="B35" s="649"/>
      <c r="C35" s="649"/>
      <c r="D35" s="649"/>
      <c r="E35" s="649"/>
      <c r="F35" s="649"/>
      <c r="G35" s="650"/>
    </row>
    <row r="36" spans="1:19">
      <c r="A36" s="657" t="s">
        <v>968</v>
      </c>
      <c r="B36" s="657"/>
      <c r="C36" s="658" t="s">
        <v>969</v>
      </c>
      <c r="D36" s="658"/>
      <c r="E36" s="658"/>
      <c r="F36" s="658"/>
      <c r="G36" s="642"/>
    </row>
    <row r="37" spans="1:19">
      <c r="A37" s="361"/>
      <c r="B37" s="349"/>
      <c r="C37" s="350"/>
      <c r="D37" s="208"/>
      <c r="E37" s="351"/>
      <c r="F37" s="351"/>
      <c r="G37" s="364"/>
    </row>
    <row r="38" spans="1:19">
      <c r="A38" s="659" t="s">
        <v>970</v>
      </c>
      <c r="B38" s="660"/>
      <c r="C38" s="660"/>
      <c r="D38" s="660"/>
      <c r="E38" s="660"/>
      <c r="F38" s="660"/>
      <c r="G38" s="661"/>
    </row>
    <row r="39" spans="1:19">
      <c r="A39" s="648"/>
      <c r="B39" s="649"/>
      <c r="C39" s="649"/>
      <c r="D39" s="649"/>
      <c r="E39" s="649"/>
      <c r="F39" s="662"/>
      <c r="G39" s="650"/>
    </row>
    <row r="40" spans="1:19">
      <c r="A40" s="368" t="s">
        <v>941</v>
      </c>
      <c r="B40" s="663" t="str">
        <f>":    "&amp;Techspecs!C6</f>
        <v>:    Uganda - LMB procurement</v>
      </c>
      <c r="C40" s="663"/>
      <c r="D40" s="664"/>
      <c r="E40" s="352" t="s">
        <v>942</v>
      </c>
      <c r="F40" s="353" t="s">
        <v>42</v>
      </c>
      <c r="G40" s="365" t="s">
        <v>971</v>
      </c>
    </row>
    <row r="41" spans="1:19">
      <c r="A41" s="369" t="s">
        <v>944</v>
      </c>
      <c r="B41" s="665" t="str">
        <f ca="1">":    "&amp;Techspecs!F8</f>
        <v>:    400033415</v>
      </c>
      <c r="C41" s="665"/>
      <c r="D41" s="666"/>
      <c r="E41" s="352" t="s">
        <v>972</v>
      </c>
      <c r="F41" s="354" t="s">
        <v>42</v>
      </c>
      <c r="G41" s="365" t="s">
        <v>971</v>
      </c>
    </row>
    <row r="42" spans="1:19">
      <c r="A42" s="358" t="s">
        <v>946</v>
      </c>
      <c r="B42" s="355" t="str">
        <f>":    "&amp;Techspecs!C8</f>
        <v xml:space="preserve">:    </v>
      </c>
      <c r="C42" s="356"/>
      <c r="D42" s="357"/>
      <c r="E42" s="358" t="s">
        <v>973</v>
      </c>
      <c r="F42" s="359" t="s">
        <v>42</v>
      </c>
      <c r="G42" s="371" t="s">
        <v>971</v>
      </c>
    </row>
    <row r="43" spans="1:19" ht="13.5" thickBot="1">
      <c r="A43" s="646"/>
      <c r="B43" s="600"/>
      <c r="C43" s="600"/>
      <c r="D43" s="600"/>
      <c r="E43" s="600"/>
      <c r="F43" s="600"/>
      <c r="G43" s="647"/>
    </row>
    <row r="44" spans="1:19">
      <c r="A44" s="370"/>
      <c r="B44" s="366"/>
      <c r="C44" s="366"/>
      <c r="D44" s="366"/>
      <c r="E44" s="366"/>
      <c r="F44" s="366"/>
      <c r="G44" s="367"/>
      <c r="J44" s="16"/>
      <c r="K44" s="16"/>
      <c r="L44" s="16"/>
      <c r="M44" s="16"/>
    </row>
    <row r="45" spans="1:19">
      <c r="A45" s="167" t="s">
        <v>974</v>
      </c>
      <c r="B45" s="167"/>
      <c r="C45" s="167"/>
      <c r="D45" s="167"/>
      <c r="E45" s="167"/>
      <c r="F45" s="167"/>
      <c r="G45" s="167"/>
      <c r="P45" s="7"/>
      <c r="S45" s="7"/>
    </row>
    <row r="46" spans="1:19">
      <c r="P46" s="7"/>
      <c r="S46" s="7"/>
    </row>
    <row r="47" spans="1:19">
      <c r="P47" s="7"/>
      <c r="S47" s="7"/>
    </row>
    <row r="48" spans="1:19">
      <c r="P48" s="7"/>
      <c r="S48" s="7"/>
    </row>
    <row r="49" spans="16:19">
      <c r="P49" s="7"/>
      <c r="S49" s="7"/>
    </row>
    <row r="50" spans="16:19">
      <c r="P50" s="7"/>
      <c r="S50" s="7"/>
    </row>
    <row r="51" spans="16:19">
      <c r="P51" s="7"/>
      <c r="S51" s="7"/>
    </row>
    <row r="52" spans="16:19">
      <c r="P52" s="7"/>
      <c r="S52" s="7"/>
    </row>
  </sheetData>
  <mergeCells count="74">
    <mergeCell ref="A1:G1"/>
    <mergeCell ref="A2:G2"/>
    <mergeCell ref="A3:G3"/>
    <mergeCell ref="A4:G4"/>
    <mergeCell ref="A7:B7"/>
    <mergeCell ref="C7:E7"/>
    <mergeCell ref="F7:G7"/>
    <mergeCell ref="D5:E5"/>
    <mergeCell ref="D6:E6"/>
    <mergeCell ref="A5:C5"/>
    <mergeCell ref="A6:C6"/>
    <mergeCell ref="A11:B11"/>
    <mergeCell ref="C11:E11"/>
    <mergeCell ref="F11:G11"/>
    <mergeCell ref="A9:B9"/>
    <mergeCell ref="C9:E9"/>
    <mergeCell ref="F9:G9"/>
    <mergeCell ref="A10:B10"/>
    <mergeCell ref="C10:E10"/>
    <mergeCell ref="F10:G10"/>
    <mergeCell ref="A24:B24"/>
    <mergeCell ref="C24:G24"/>
    <mergeCell ref="A21:B21"/>
    <mergeCell ref="A26:B26"/>
    <mergeCell ref="C26:E26"/>
    <mergeCell ref="F26:G26"/>
    <mergeCell ref="A14:B14"/>
    <mergeCell ref="C14:E14"/>
    <mergeCell ref="F14:G14"/>
    <mergeCell ref="A13:B13"/>
    <mergeCell ref="C13:E13"/>
    <mergeCell ref="F13:G13"/>
    <mergeCell ref="A15:B15"/>
    <mergeCell ref="C15:E15"/>
    <mergeCell ref="F15:G15"/>
    <mergeCell ref="C29:G29"/>
    <mergeCell ref="C30:G30"/>
    <mergeCell ref="A18:A20"/>
    <mergeCell ref="A17:B17"/>
    <mergeCell ref="C18:G18"/>
    <mergeCell ref="C19:G19"/>
    <mergeCell ref="C20:G20"/>
    <mergeCell ref="C21:G21"/>
    <mergeCell ref="A16:B16"/>
    <mergeCell ref="A22:B22"/>
    <mergeCell ref="C22:G22"/>
    <mergeCell ref="C23:G23"/>
    <mergeCell ref="A23:B23"/>
    <mergeCell ref="B40:D40"/>
    <mergeCell ref="B41:D41"/>
    <mergeCell ref="A35:G35"/>
    <mergeCell ref="A31:G31"/>
    <mergeCell ref="A32:B32"/>
    <mergeCell ref="C32:G32"/>
    <mergeCell ref="A34:B34"/>
    <mergeCell ref="C33:G33"/>
    <mergeCell ref="C34:G34"/>
    <mergeCell ref="A33:B33"/>
    <mergeCell ref="A8:B8"/>
    <mergeCell ref="C8:E8"/>
    <mergeCell ref="F8:G8"/>
    <mergeCell ref="A43:G43"/>
    <mergeCell ref="A12:G12"/>
    <mergeCell ref="C17:G17"/>
    <mergeCell ref="C16:G16"/>
    <mergeCell ref="A25:G25"/>
    <mergeCell ref="C27:G27"/>
    <mergeCell ref="A27:A28"/>
    <mergeCell ref="A29:A30"/>
    <mergeCell ref="C28:G28"/>
    <mergeCell ref="A36:B36"/>
    <mergeCell ref="C36:G36"/>
    <mergeCell ref="A38:G38"/>
    <mergeCell ref="A39:G39"/>
  </mergeCells>
  <pageMargins left="0.7" right="0.7" top="0.75" bottom="0.75" header="0.3" footer="0.3"/>
  <pageSetup scale="7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1D1205E73FD44594293E1EEBE4B1CA" ma:contentTypeVersion="17" ma:contentTypeDescription="Create a new document." ma:contentTypeScope="" ma:versionID="0bf3c83fbb660cdac44407fc95c49986">
  <xsd:schema xmlns:xsd="http://www.w3.org/2001/XMLSchema" xmlns:xs="http://www.w3.org/2001/XMLSchema" xmlns:p="http://schemas.microsoft.com/office/2006/metadata/properties" xmlns:ns2="d5f5940c-f641-41cb-9f5f-c2a168dfe0b8" xmlns:ns3="9b6de309-5530-4873-9edf-2fbcf50441ec" targetNamespace="http://schemas.microsoft.com/office/2006/metadata/properties" ma:root="true" ma:fieldsID="f9405f3e9fe531006d22797c373134ea" ns2:_="" ns3:_="">
    <xsd:import namespace="d5f5940c-f641-41cb-9f5f-c2a168dfe0b8"/>
    <xsd:import namespace="9b6de309-5530-4873-9edf-2fbcf5044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No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5940c-f641-41cb-9f5f-c2a168df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" ma:index="18" nillable="true" ma:displayName="No" ma:format="Dropdown" ma:indexed="true" ma:internalName="No" ma:percentage="FALSE">
      <xsd:simpleType>
        <xsd:restriction base="dms:Number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441ece5-d214-418f-ad0e-b0a37d838b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de309-5530-4873-9edf-2fbcf50441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f6eaa68-e1e5-4083-99d4-3da035e026e0}" ma:internalName="TaxCatchAll" ma:showField="CatchAllData" ma:web="9b6de309-5530-4873-9edf-2fbcf50441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5940c-f641-41cb-9f5f-c2a168dfe0b8">
      <Terms xmlns="http://schemas.microsoft.com/office/infopath/2007/PartnerControls"/>
    </lcf76f155ced4ddcb4097134ff3c332f>
    <TaxCatchAll xmlns="9b6de309-5530-4873-9edf-2fbcf50441ec" xsi:nil="true"/>
    <No xmlns="d5f5940c-f641-41cb-9f5f-c2a168dfe0b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580A8-67EA-47BD-A203-6CD518065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5940c-f641-41cb-9f5f-c2a168dfe0b8"/>
    <ds:schemaRef ds:uri="9b6de309-5530-4873-9edf-2fbcf5044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94EFF0-FFCC-43CE-AB53-84D973F90E20}">
  <ds:schemaRefs>
    <ds:schemaRef ds:uri="http://schemas.microsoft.com/office/2006/metadata/properties"/>
    <ds:schemaRef ds:uri="http://schemas.microsoft.com/office/infopath/2007/PartnerControls"/>
    <ds:schemaRef ds:uri="d5f5940c-f641-41cb-9f5f-c2a168dfe0b8"/>
    <ds:schemaRef ds:uri="9b6de309-5530-4873-9edf-2fbcf50441ec"/>
  </ds:schemaRefs>
</ds:datastoreItem>
</file>

<file path=customXml/itemProps4.xml><?xml version="1.0" encoding="utf-8"?>
<ds:datastoreItem xmlns:ds="http://schemas.openxmlformats.org/officeDocument/2006/customXml" ds:itemID="{FB8CDC92-2709-4138-AAE4-AB4DB623D3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DDOSnew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Manager/>
  <Company>ltl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herath</dc:creator>
  <cp:keywords/>
  <dc:description/>
  <cp:lastModifiedBy>Prashanth Sugenthiran</cp:lastModifiedBy>
  <cp:revision/>
  <dcterms:created xsi:type="dcterms:W3CDTF">2004-02-02T05:43:25Z</dcterms:created>
  <dcterms:modified xsi:type="dcterms:W3CDTF">2023-06-19T11:05:05Z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0x010100041D1205E73FD44594293E1EEBE4B1CA</vt:lpwstr>
  </property>
  <property fmtid="{D5CDD505-2E9C-101B-9397-08002B2CF9AE}" pid="3" name="MediaServiceImageTags">
    <vt:lpwstr/>
  </property>
</Properties>
</file>