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shanth\LTL\BOM Automation\"/>
    </mc:Choice>
  </mc:AlternateContent>
  <xr:revisionPtr revIDLastSave="0" documentId="13_ncr:1_{5B62C82D-595C-4BDA-9FEF-8E0E605AC293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R" sheetId="23" r:id="rId1"/>
    <sheet name="P" sheetId="4" r:id="rId2"/>
    <sheet name="Q" sheetId="5" r:id="rId3"/>
    <sheet name="Bill of Materials" sheetId="6" r:id="rId4"/>
    <sheet name="Radiator Choise" sheetId="24" r:id="rId5"/>
    <sheet name="Techspecs" sheetId="8" r:id="rId6"/>
    <sheet name="DDOS" sheetId="10" r:id="rId7"/>
  </sheets>
  <definedNames>
    <definedName name="_xlnm._FilterDatabase" localSheetId="3" hidden="1">'Bill of Materials'!$A$10:$J$170</definedName>
    <definedName name="_xlnm._FilterDatabase" localSheetId="1" hidden="1">P!$B$17:$I$127</definedName>
    <definedName name="CAPACITIES">Q!#REF!</definedName>
    <definedName name="HV_Bushing">Q!$F$314:$F$328</definedName>
    <definedName name="IO">Q!$B$44:$B$45</definedName>
    <definedName name="kVA">#REF!</definedName>
    <definedName name="LV_Bushings">Q!$F$333:$F$346</definedName>
    <definedName name="Materials">#REF!</definedName>
    <definedName name="_xlnm.Print_Area" localSheetId="3">'Bill of Materials'!$A$1:$J$170</definedName>
    <definedName name="_xlnm.Print_Area" localSheetId="6">DDOS!$A$1:$G$82</definedName>
    <definedName name="_xlnm.Print_Area" localSheetId="1">P!$B$15:$H$127</definedName>
    <definedName name="_xlnm.Print_Area" localSheetId="5">Techspecs!$A$2:$K$68</definedName>
    <definedName name="report" localSheetId="1">P!$B$15:$H$130</definedName>
    <definedName name="REPORTVB" localSheetId="0">'R'!$A$1:$G$90</definedName>
    <definedName name="REPORTVB_1" localSheetId="0">'R'!$A$1:$G$90</definedName>
    <definedName name="REPORTVB_2" localSheetId="0">'R'!$A$1:$G$90</definedName>
    <definedName name="Steel_Channel">Q!$A$239:$A$245</definedName>
    <definedName name="Tap_selector">Q!$F$351:$F$361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6" l="1"/>
  <c r="C11" i="6" l="1"/>
  <c r="G94" i="6"/>
  <c r="I94" i="6"/>
  <c r="H50" i="8"/>
  <c r="B112" i="6"/>
  <c r="G21" i="6" l="1"/>
  <c r="D5" i="10"/>
  <c r="H30" i="8"/>
  <c r="B96" i="6" l="1"/>
  <c r="J65" i="8" l="1"/>
  <c r="G60" i="6" l="1"/>
  <c r="G52" i="6" l="1"/>
  <c r="I52" i="6"/>
  <c r="G37" i="6"/>
  <c r="I37" i="6"/>
  <c r="G36" i="6" l="1"/>
  <c r="I36" i="6"/>
  <c r="B134" i="6"/>
  <c r="G134" i="6"/>
  <c r="I134" i="6"/>
  <c r="B133" i="6"/>
  <c r="B140" i="6"/>
  <c r="B120" i="6" l="1"/>
  <c r="B121" i="6"/>
  <c r="B122" i="6"/>
  <c r="B123" i="6"/>
  <c r="B124" i="6"/>
  <c r="B125" i="6"/>
  <c r="B126" i="6"/>
  <c r="B127" i="6"/>
  <c r="B128" i="6"/>
  <c r="G34" i="6" l="1"/>
  <c r="I34" i="6"/>
  <c r="G35" i="6"/>
  <c r="I35" i="6"/>
  <c r="B111" i="5" l="1"/>
  <c r="G38" i="6" l="1"/>
  <c r="I38" i="6"/>
  <c r="G28" i="6"/>
  <c r="I28" i="6"/>
  <c r="I20" i="6"/>
  <c r="I21" i="6"/>
  <c r="G20" i="6"/>
  <c r="J66" i="8" l="1"/>
  <c r="J64" i="8"/>
  <c r="G462" i="5" l="1"/>
  <c r="G447" i="5"/>
  <c r="C73" i="10" l="1"/>
  <c r="I170" i="5"/>
  <c r="J170" i="5"/>
  <c r="J169" i="5"/>
  <c r="I169" i="5"/>
  <c r="B79" i="10"/>
  <c r="C100" i="5" l="1"/>
  <c r="B100" i="5"/>
  <c r="G108" i="6" l="1"/>
  <c r="I108" i="6"/>
  <c r="G109" i="6"/>
  <c r="I109" i="6"/>
  <c r="G110" i="6"/>
  <c r="I110" i="6"/>
  <c r="G111" i="6"/>
  <c r="I111" i="6"/>
  <c r="G112" i="6"/>
  <c r="I112" i="6"/>
  <c r="G113" i="6"/>
  <c r="I113" i="6"/>
  <c r="G114" i="6"/>
  <c r="I114" i="6"/>
  <c r="G115" i="6"/>
  <c r="I115" i="6"/>
  <c r="G116" i="6"/>
  <c r="I116" i="6"/>
  <c r="G117" i="6"/>
  <c r="I117" i="6"/>
  <c r="G118" i="6"/>
  <c r="I118" i="6"/>
  <c r="G119" i="6"/>
  <c r="I119" i="6"/>
  <c r="G120" i="6"/>
  <c r="I120" i="6"/>
  <c r="G121" i="6"/>
  <c r="I121" i="6"/>
  <c r="G122" i="6"/>
  <c r="I122" i="6"/>
  <c r="G123" i="6"/>
  <c r="I123" i="6"/>
  <c r="G124" i="6"/>
  <c r="I124" i="6"/>
  <c r="G125" i="6"/>
  <c r="I125" i="6"/>
  <c r="G126" i="6"/>
  <c r="I126" i="6"/>
  <c r="G127" i="6"/>
  <c r="I127" i="6"/>
  <c r="G128" i="6"/>
  <c r="I128" i="6"/>
  <c r="G129" i="6"/>
  <c r="I129" i="6"/>
  <c r="G130" i="6"/>
  <c r="I130" i="6"/>
  <c r="G131" i="6"/>
  <c r="I131" i="6"/>
  <c r="G132" i="6"/>
  <c r="I132" i="6"/>
  <c r="G133" i="6"/>
  <c r="I133" i="6"/>
  <c r="G135" i="6"/>
  <c r="I135" i="6"/>
  <c r="B129" i="6"/>
  <c r="B130" i="6"/>
  <c r="B131" i="6"/>
  <c r="B132" i="6"/>
  <c r="B119" i="6"/>
  <c r="G75" i="6"/>
  <c r="I75" i="6"/>
  <c r="G76" i="6"/>
  <c r="I76" i="6"/>
  <c r="G77" i="6"/>
  <c r="I77" i="6"/>
  <c r="B76" i="6"/>
  <c r="B72" i="6"/>
  <c r="B73" i="6"/>
  <c r="B74" i="6"/>
  <c r="B75" i="6"/>
  <c r="I48" i="5"/>
  <c r="I49" i="5"/>
  <c r="D8" i="4"/>
  <c r="B68" i="6" l="1"/>
  <c r="B69" i="6"/>
  <c r="B70" i="6"/>
  <c r="B71" i="6"/>
  <c r="A438" i="5"/>
  <c r="B139" i="6" s="1"/>
  <c r="B114" i="6"/>
  <c r="B115" i="6"/>
  <c r="B116" i="6"/>
  <c r="B117" i="6"/>
  <c r="G81" i="6" l="1"/>
  <c r="G82" i="6"/>
  <c r="G83" i="6"/>
  <c r="G84" i="6"/>
  <c r="G85" i="6"/>
  <c r="G86" i="6"/>
  <c r="G87" i="6"/>
  <c r="B85" i="6"/>
  <c r="B86" i="6"/>
  <c r="J391" i="5"/>
  <c r="J398" i="5"/>
  <c r="J397" i="5"/>
  <c r="J396" i="5"/>
  <c r="J395" i="5"/>
  <c r="J394" i="5"/>
  <c r="J393" i="5"/>
  <c r="J392" i="5"/>
  <c r="J388" i="5"/>
  <c r="J387" i="5"/>
  <c r="H402" i="5"/>
  <c r="B391" i="5" s="1"/>
  <c r="G93" i="6" s="1"/>
  <c r="I93" i="6"/>
  <c r="H401" i="5"/>
  <c r="B390" i="5" s="1"/>
  <c r="G92" i="6" s="1"/>
  <c r="H400" i="5"/>
  <c r="B389" i="5" s="1"/>
  <c r="I91" i="6"/>
  <c r="I92" i="6"/>
  <c r="C251" i="5" l="1"/>
  <c r="B243" i="5"/>
  <c r="J48" i="5" l="1"/>
  <c r="J49" i="5"/>
  <c r="I47" i="5"/>
  <c r="J47" i="5" s="1"/>
  <c r="G172" i="5"/>
  <c r="H172" i="5"/>
  <c r="G174" i="5"/>
  <c r="H174" i="5"/>
  <c r="G175" i="5"/>
  <c r="H175" i="5"/>
  <c r="G176" i="5"/>
  <c r="H176" i="5"/>
  <c r="G179" i="5"/>
  <c r="H179" i="5"/>
  <c r="G180" i="5"/>
  <c r="H180" i="5"/>
  <c r="H164" i="5"/>
  <c r="G164" i="5"/>
  <c r="H165" i="5"/>
  <c r="G165" i="5"/>
  <c r="H168" i="5"/>
  <c r="G168" i="5"/>
  <c r="H163" i="5"/>
  <c r="G163" i="5"/>
  <c r="H161" i="5"/>
  <c r="G161" i="5"/>
  <c r="B66" i="6"/>
  <c r="B113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92" i="6"/>
  <c r="B80" i="6"/>
  <c r="B81" i="6"/>
  <c r="B82" i="6"/>
  <c r="B83" i="6"/>
  <c r="B84" i="6"/>
  <c r="G66" i="6"/>
  <c r="I66" i="6"/>
  <c r="G67" i="6"/>
  <c r="I67" i="6"/>
  <c r="G68" i="6"/>
  <c r="I68" i="6"/>
  <c r="B55" i="6"/>
  <c r="C39" i="5"/>
  <c r="B39" i="5"/>
  <c r="C8" i="8"/>
  <c r="D11" i="4"/>
  <c r="B124" i="4" s="1"/>
  <c r="D10" i="4"/>
  <c r="B116" i="4" s="1"/>
  <c r="D9" i="4"/>
  <c r="C103" i="4" s="1"/>
  <c r="D7" i="4"/>
  <c r="D81" i="4" s="1"/>
  <c r="D6" i="4"/>
  <c r="B73" i="4" s="1"/>
  <c r="D5" i="4"/>
  <c r="B56" i="4" s="1"/>
  <c r="D4" i="4"/>
  <c r="B41" i="4" s="1"/>
  <c r="D3" i="4"/>
  <c r="B38" i="4" s="1"/>
  <c r="D2" i="4"/>
  <c r="C18" i="4" s="1"/>
  <c r="F68" i="10" s="1"/>
  <c r="H13" i="8"/>
  <c r="K5" i="10"/>
  <c r="J5" i="10"/>
  <c r="K4" i="10"/>
  <c r="J4" i="10"/>
  <c r="J9" i="8"/>
  <c r="G69" i="10"/>
  <c r="G99" i="6"/>
  <c r="G103" i="6"/>
  <c r="I104" i="6"/>
  <c r="G105" i="6"/>
  <c r="B97" i="6"/>
  <c r="G136" i="6"/>
  <c r="E141" i="6"/>
  <c r="G141" i="6" s="1"/>
  <c r="G58" i="6"/>
  <c r="G61" i="6"/>
  <c r="G64" i="6"/>
  <c r="G65" i="6"/>
  <c r="G69" i="6"/>
  <c r="G70" i="6"/>
  <c r="E72" i="6"/>
  <c r="E74" i="6"/>
  <c r="G78" i="6"/>
  <c r="G79" i="6"/>
  <c r="G80" i="6"/>
  <c r="I81" i="6"/>
  <c r="G88" i="6"/>
  <c r="G95" i="6"/>
  <c r="G97" i="6"/>
  <c r="G100" i="6"/>
  <c r="G106" i="6"/>
  <c r="B118" i="6"/>
  <c r="B90" i="6"/>
  <c r="B91" i="6"/>
  <c r="B89" i="6"/>
  <c r="B88" i="6"/>
  <c r="I90" i="6"/>
  <c r="C84" i="5"/>
  <c r="C85" i="5"/>
  <c r="B65" i="6"/>
  <c r="H91" i="5"/>
  <c r="I91" i="5" s="1"/>
  <c r="B79" i="6"/>
  <c r="I99" i="6"/>
  <c r="I84" i="6"/>
  <c r="I80" i="6"/>
  <c r="I70" i="6"/>
  <c r="I69" i="6"/>
  <c r="I65" i="6"/>
  <c r="B136" i="6"/>
  <c r="B95" i="6"/>
  <c r="B78" i="6"/>
  <c r="B64" i="6"/>
  <c r="B61" i="6"/>
  <c r="B58" i="6"/>
  <c r="B141" i="6"/>
  <c r="B138" i="6"/>
  <c r="B137" i="6"/>
  <c r="I82" i="6"/>
  <c r="I97" i="6"/>
  <c r="I100" i="6"/>
  <c r="B54" i="6"/>
  <c r="A92" i="4"/>
  <c r="A93" i="4"/>
  <c r="C13" i="4"/>
  <c r="D13" i="4"/>
  <c r="A41" i="4"/>
  <c r="A42" i="4"/>
  <c r="A57" i="4"/>
  <c r="A58" i="4"/>
  <c r="A25" i="4"/>
  <c r="A16" i="4"/>
  <c r="A17" i="4"/>
  <c r="A18" i="4"/>
  <c r="A19" i="4"/>
  <c r="A82" i="4"/>
  <c r="A114" i="4"/>
  <c r="A123" i="4"/>
  <c r="A72" i="4"/>
  <c r="A13" i="4"/>
  <c r="A23" i="4"/>
  <c r="A39" i="4"/>
  <c r="A55" i="4"/>
  <c r="A70" i="4"/>
  <c r="A80" i="4"/>
  <c r="A90" i="4"/>
  <c r="A102" i="4"/>
  <c r="A104" i="4"/>
  <c r="A105" i="4"/>
  <c r="A112" i="4"/>
  <c r="A121" i="4"/>
  <c r="D305" i="5"/>
  <c r="E305" i="5" s="1"/>
  <c r="E308" i="5" s="1"/>
  <c r="C249" i="5"/>
  <c r="C247" i="5"/>
  <c r="C248" i="5"/>
  <c r="C250" i="5"/>
  <c r="B223" i="5"/>
  <c r="M254" i="5"/>
  <c r="B242" i="5"/>
  <c r="B241" i="5"/>
  <c r="B240" i="5"/>
  <c r="B239" i="5"/>
  <c r="A124" i="4"/>
  <c r="A125" i="4"/>
  <c r="A26" i="4"/>
  <c r="A27" i="4"/>
  <c r="G98" i="6"/>
  <c r="I98" i="6"/>
  <c r="I89" i="6"/>
  <c r="A126" i="4"/>
  <c r="A127" i="4"/>
  <c r="I96" i="6"/>
  <c r="G96" i="6"/>
  <c r="B77" i="10"/>
  <c r="I101" i="6"/>
  <c r="G101" i="6"/>
  <c r="A73" i="4"/>
  <c r="A115" i="4"/>
  <c r="A74" i="4"/>
  <c r="A116" i="4"/>
  <c r="A117" i="4"/>
  <c r="A75" i="4"/>
  <c r="A76" i="4"/>
  <c r="A77" i="4"/>
  <c r="A78" i="4"/>
  <c r="A118" i="4"/>
  <c r="A119" i="4"/>
  <c r="B91" i="4"/>
  <c r="B92" i="4"/>
  <c r="I105" i="6"/>
  <c r="G104" i="6"/>
  <c r="I106" i="6"/>
  <c r="I103" i="6"/>
  <c r="A43" i="4"/>
  <c r="E13" i="4"/>
  <c r="D91" i="4"/>
  <c r="D92" i="4"/>
  <c r="F38" i="5" s="1"/>
  <c r="E38" i="5" s="1"/>
  <c r="D260" i="5" s="1"/>
  <c r="C93" i="4"/>
  <c r="D228" i="5" s="1"/>
  <c r="B228" i="5" s="1"/>
  <c r="D93" i="4"/>
  <c r="E93" i="4"/>
  <c r="A94" i="4"/>
  <c r="B93" i="4"/>
  <c r="A106" i="4"/>
  <c r="A128" i="4"/>
  <c r="A28" i="4"/>
  <c r="A59" i="4"/>
  <c r="C92" i="4"/>
  <c r="D119" i="5" s="1"/>
  <c r="A83" i="4"/>
  <c r="C91" i="4"/>
  <c r="A20" i="4"/>
  <c r="E92" i="4"/>
  <c r="D229" i="5" s="1"/>
  <c r="A84" i="4"/>
  <c r="A60" i="4"/>
  <c r="A29" i="4"/>
  <c r="A95" i="4"/>
  <c r="B94" i="4"/>
  <c r="E94" i="4"/>
  <c r="D233" i="5" s="1"/>
  <c r="C94" i="4"/>
  <c r="D118" i="5" s="1"/>
  <c r="B118" i="5" s="1"/>
  <c r="H46" i="8" s="1"/>
  <c r="D94" i="4"/>
  <c r="F37" i="5" s="1"/>
  <c r="E37" i="5" s="1"/>
  <c r="F13" i="4"/>
  <c r="E91" i="4"/>
  <c r="A129" i="4"/>
  <c r="A107" i="4"/>
  <c r="A44" i="4"/>
  <c r="A21" i="4"/>
  <c r="A108" i="4"/>
  <c r="A85" i="4"/>
  <c r="F92" i="4"/>
  <c r="G13" i="4"/>
  <c r="F91" i="4"/>
  <c r="F93" i="4"/>
  <c r="F94" i="4"/>
  <c r="A45" i="4"/>
  <c r="A61" i="4"/>
  <c r="A130" i="4"/>
  <c r="A30" i="4"/>
  <c r="A96" i="4"/>
  <c r="D95" i="4"/>
  <c r="B95" i="4"/>
  <c r="E95" i="4"/>
  <c r="C95" i="4"/>
  <c r="B216" i="5" s="1"/>
  <c r="G95" i="4"/>
  <c r="F95" i="4"/>
  <c r="A22" i="4"/>
  <c r="E96" i="4"/>
  <c r="A97" i="4"/>
  <c r="F96" i="4"/>
  <c r="G96" i="4"/>
  <c r="H96" i="4"/>
  <c r="B96" i="4"/>
  <c r="D96" i="4"/>
  <c r="C96" i="4"/>
  <c r="D225" i="5" s="1"/>
  <c r="B225" i="5" s="1"/>
  <c r="A31" i="4"/>
  <c r="A46" i="4"/>
  <c r="A86" i="4"/>
  <c r="A62" i="4"/>
  <c r="H13" i="4"/>
  <c r="G92" i="4"/>
  <c r="G91" i="4"/>
  <c r="G93" i="4"/>
  <c r="G94" i="4"/>
  <c r="A131" i="4"/>
  <c r="A109" i="4"/>
  <c r="I102" i="6"/>
  <c r="G107" i="6"/>
  <c r="A47" i="4"/>
  <c r="A63" i="4"/>
  <c r="E97" i="4"/>
  <c r="G97" i="4"/>
  <c r="C97" i="4"/>
  <c r="D97" i="4"/>
  <c r="B97" i="4"/>
  <c r="A98" i="4"/>
  <c r="H97" i="4"/>
  <c r="E94" i="5" s="1"/>
  <c r="F97" i="4"/>
  <c r="A32" i="4"/>
  <c r="H92" i="4"/>
  <c r="H91" i="4"/>
  <c r="H93" i="4"/>
  <c r="H94" i="4"/>
  <c r="H95" i="4"/>
  <c r="C278" i="5" s="1"/>
  <c r="A110" i="4"/>
  <c r="A87" i="4"/>
  <c r="G102" i="6"/>
  <c r="I107" i="6"/>
  <c r="F98" i="4"/>
  <c r="C98" i="4"/>
  <c r="D98" i="4"/>
  <c r="B98" i="4"/>
  <c r="A99" i="4"/>
  <c r="H98" i="4"/>
  <c r="G98" i="4"/>
  <c r="E98" i="4"/>
  <c r="A33" i="4"/>
  <c r="A48" i="4"/>
  <c r="A88" i="4"/>
  <c r="A64" i="4"/>
  <c r="A34" i="4"/>
  <c r="A65" i="4"/>
  <c r="A49" i="4"/>
  <c r="H99" i="4"/>
  <c r="A100" i="4"/>
  <c r="C99" i="4"/>
  <c r="F99" i="4"/>
  <c r="D99" i="4"/>
  <c r="G99" i="4"/>
  <c r="E99" i="4"/>
  <c r="B99" i="4"/>
  <c r="H100" i="4"/>
  <c r="C100" i="4"/>
  <c r="D100" i="4"/>
  <c r="G100" i="4"/>
  <c r="F100" i="4"/>
  <c r="B100" i="4"/>
  <c r="E100" i="4"/>
  <c r="A35" i="4"/>
  <c r="G34" i="4"/>
  <c r="A50" i="4"/>
  <c r="A66" i="4"/>
  <c r="A36" i="4"/>
  <c r="A67" i="4"/>
  <c r="A51" i="4"/>
  <c r="A68" i="4"/>
  <c r="G36" i="4"/>
  <c r="C36" i="4"/>
  <c r="A52" i="4"/>
  <c r="E50" i="6" l="1"/>
  <c r="H26" i="4"/>
  <c r="I187" i="5" s="1"/>
  <c r="F34" i="4"/>
  <c r="H49" i="4"/>
  <c r="G66" i="4"/>
  <c r="E64" i="4"/>
  <c r="F65" i="4"/>
  <c r="C63" i="4"/>
  <c r="G63" i="4"/>
  <c r="G68" i="4"/>
  <c r="H68" i="4"/>
  <c r="H67" i="4"/>
  <c r="D66" i="4"/>
  <c r="H65" i="4"/>
  <c r="F64" i="4"/>
  <c r="F63" i="4"/>
  <c r="E57" i="4"/>
  <c r="D62" i="4"/>
  <c r="G61" i="4"/>
  <c r="D60" i="4"/>
  <c r="C59" i="4"/>
  <c r="K47" i="10" s="1"/>
  <c r="J47" i="10" s="1"/>
  <c r="G67" i="4"/>
  <c r="D64" i="4"/>
  <c r="C62" i="4"/>
  <c r="F37" i="10" s="1"/>
  <c r="F36" i="10" s="1"/>
  <c r="F61" i="4"/>
  <c r="F57" i="4"/>
  <c r="B68" i="4"/>
  <c r="C66" i="4"/>
  <c r="K58" i="10" s="1"/>
  <c r="D68" i="4"/>
  <c r="E68" i="4"/>
  <c r="C67" i="4"/>
  <c r="H66" i="4"/>
  <c r="F39" i="10" s="1"/>
  <c r="C65" i="4"/>
  <c r="F16" i="10" s="1"/>
  <c r="G62" i="4"/>
  <c r="D61" i="4"/>
  <c r="D65" i="4"/>
  <c r="G64" i="4"/>
  <c r="F67" i="4"/>
  <c r="B66" i="4"/>
  <c r="E65" i="4"/>
  <c r="C68" i="4"/>
  <c r="C64" i="4"/>
  <c r="F30" i="10" s="1"/>
  <c r="E63" i="4"/>
  <c r="H57" i="4"/>
  <c r="E140" i="5" s="1"/>
  <c r="G57" i="4"/>
  <c r="D67" i="4"/>
  <c r="E66" i="4"/>
  <c r="G65" i="4"/>
  <c r="B67" i="4"/>
  <c r="H64" i="4"/>
  <c r="F38" i="10" s="1"/>
  <c r="D63" i="4"/>
  <c r="D109" i="4"/>
  <c r="H88" i="4"/>
  <c r="D88" i="4"/>
  <c r="D87" i="4"/>
  <c r="E87" i="4"/>
  <c r="H82" i="4"/>
  <c r="E88" i="4"/>
  <c r="E32" i="4"/>
  <c r="C38" i="4"/>
  <c r="K186" i="5" s="1"/>
  <c r="B88" i="4"/>
  <c r="B35" i="4"/>
  <c r="B86" i="4"/>
  <c r="H81" i="4"/>
  <c r="C87" i="4"/>
  <c r="D106" i="4"/>
  <c r="F110" i="4"/>
  <c r="H104" i="4"/>
  <c r="G108" i="4"/>
  <c r="C107" i="4"/>
  <c r="B106" i="4"/>
  <c r="C108" i="4"/>
  <c r="G103" i="4"/>
  <c r="F105" i="4"/>
  <c r="C110" i="4"/>
  <c r="E110" i="4"/>
  <c r="B109" i="4"/>
  <c r="E107" i="4"/>
  <c r="E103" i="4"/>
  <c r="C105" i="4"/>
  <c r="H33" i="4"/>
  <c r="I194" i="5" s="1"/>
  <c r="H110" i="4"/>
  <c r="G109" i="4"/>
  <c r="H106" i="4"/>
  <c r="D107" i="4"/>
  <c r="C109" i="4"/>
  <c r="C31" i="4"/>
  <c r="G105" i="4"/>
  <c r="F106" i="4"/>
  <c r="D103" i="4"/>
  <c r="E108" i="4"/>
  <c r="H107" i="4"/>
  <c r="H109" i="4"/>
  <c r="D108" i="4"/>
  <c r="B105" i="4"/>
  <c r="B103" i="4"/>
  <c r="B64" i="4"/>
  <c r="B63" i="4"/>
  <c r="H59" i="4"/>
  <c r="F29" i="10" s="1"/>
  <c r="H62" i="4"/>
  <c r="F68" i="4"/>
  <c r="E67" i="4"/>
  <c r="F66" i="4"/>
  <c r="B65" i="4"/>
  <c r="H63" i="4"/>
  <c r="E156" i="5" s="1"/>
  <c r="H60" i="4"/>
  <c r="C213" i="5" s="1"/>
  <c r="G49" i="10" s="1"/>
  <c r="H56" i="4"/>
  <c r="B62" i="4"/>
  <c r="G59" i="4"/>
  <c r="E60" i="4"/>
  <c r="F33" i="10" s="1"/>
  <c r="F84" i="4"/>
  <c r="F58" i="4"/>
  <c r="D84" i="4"/>
  <c r="D73" i="4"/>
  <c r="C130" i="4"/>
  <c r="G84" i="4"/>
  <c r="H85" i="4"/>
  <c r="G113" i="4"/>
  <c r="F114" i="4"/>
  <c r="G87" i="4"/>
  <c r="F32" i="4"/>
  <c r="E193" i="5" s="1"/>
  <c r="F86" i="4"/>
  <c r="B31" i="4"/>
  <c r="C88" i="4"/>
  <c r="H87" i="4"/>
  <c r="G24" i="4"/>
  <c r="G88" i="4"/>
  <c r="B87" i="4"/>
  <c r="C86" i="4"/>
  <c r="F82" i="4"/>
  <c r="F88" i="4"/>
  <c r="F87" i="4"/>
  <c r="D86" i="4"/>
  <c r="G75" i="4"/>
  <c r="H84" i="4"/>
  <c r="H37" i="4"/>
  <c r="G82" i="4"/>
  <c r="G81" i="4"/>
  <c r="C85" i="4"/>
  <c r="F74" i="4"/>
  <c r="B15" i="4"/>
  <c r="H19" i="4"/>
  <c r="E53" i="5" s="1"/>
  <c r="D53" i="5" s="1"/>
  <c r="D85" i="4"/>
  <c r="E81" i="4"/>
  <c r="H86" i="4"/>
  <c r="G83" i="4"/>
  <c r="B30" i="4"/>
  <c r="B84" i="4"/>
  <c r="G86" i="4"/>
  <c r="H38" i="4"/>
  <c r="F81" i="4"/>
  <c r="E83" i="4"/>
  <c r="E34" i="4"/>
  <c r="G110" i="4"/>
  <c r="H105" i="4"/>
  <c r="G78" i="4"/>
  <c r="G104" i="4"/>
  <c r="F128" i="4"/>
  <c r="E106" i="4"/>
  <c r="C104" i="4"/>
  <c r="D105" i="4"/>
  <c r="D33" i="4"/>
  <c r="D110" i="4"/>
  <c r="F109" i="4"/>
  <c r="H74" i="4"/>
  <c r="E144" i="5" s="1"/>
  <c r="H25" i="4"/>
  <c r="G186" i="5" s="1"/>
  <c r="H31" i="4"/>
  <c r="I192" i="5" s="1"/>
  <c r="H108" i="4"/>
  <c r="G127" i="4"/>
  <c r="F28" i="4"/>
  <c r="E189" i="5" s="1"/>
  <c r="C29" i="4"/>
  <c r="B86" i="5" s="1"/>
  <c r="H35" i="8" s="1"/>
  <c r="D56" i="10" s="1"/>
  <c r="F78" i="4"/>
  <c r="F103" i="4"/>
  <c r="G107" i="4"/>
  <c r="E104" i="4"/>
  <c r="B77" i="4"/>
  <c r="D104" i="4"/>
  <c r="F35" i="4"/>
  <c r="B110" i="4"/>
  <c r="E109" i="4"/>
  <c r="H76" i="4"/>
  <c r="H103" i="4"/>
  <c r="B108" i="4"/>
  <c r="G106" i="4"/>
  <c r="B107" i="4"/>
  <c r="C106" i="4"/>
  <c r="C71" i="4"/>
  <c r="E105" i="4"/>
  <c r="D74" i="4"/>
  <c r="F75" i="4"/>
  <c r="C32" i="4"/>
  <c r="F108" i="4"/>
  <c r="G37" i="4"/>
  <c r="E30" i="4"/>
  <c r="F104" i="4"/>
  <c r="F107" i="4"/>
  <c r="C77" i="4"/>
  <c r="E74" i="4"/>
  <c r="D299" i="5"/>
  <c r="C299" i="5" s="1"/>
  <c r="B36" i="4"/>
  <c r="C35" i="4"/>
  <c r="F33" i="4"/>
  <c r="D194" i="5" s="1"/>
  <c r="H78" i="4"/>
  <c r="H71" i="4"/>
  <c r="G27" i="4"/>
  <c r="H188" i="5" s="1"/>
  <c r="G25" i="4"/>
  <c r="H186" i="5" s="1"/>
  <c r="F30" i="4"/>
  <c r="E191" i="5" s="1"/>
  <c r="G29" i="4"/>
  <c r="H190" i="5" s="1"/>
  <c r="F38" i="4"/>
  <c r="F27" i="4"/>
  <c r="D188" i="5" s="1"/>
  <c r="F125" i="4"/>
  <c r="C28" i="4"/>
  <c r="A5" i="10" s="1"/>
  <c r="C73" i="4"/>
  <c r="E44" i="10" s="1"/>
  <c r="E75" i="4"/>
  <c r="D24" i="4"/>
  <c r="E36" i="4"/>
  <c r="E35" i="4"/>
  <c r="D34" i="4"/>
  <c r="E33" i="4"/>
  <c r="D195" i="5" s="1"/>
  <c r="C195" i="5" s="1"/>
  <c r="D32" i="4"/>
  <c r="H24" i="4"/>
  <c r="G31" i="4"/>
  <c r="H192" i="5" s="1"/>
  <c r="G28" i="4"/>
  <c r="H189" i="5" s="1"/>
  <c r="C30" i="4"/>
  <c r="B87" i="5" s="1"/>
  <c r="H40" i="8" s="1"/>
  <c r="E29" i="4"/>
  <c r="F123" i="4"/>
  <c r="E28" i="4"/>
  <c r="A6" i="10" s="1"/>
  <c r="B78" i="4"/>
  <c r="D71" i="4"/>
  <c r="D38" i="4"/>
  <c r="N187" i="5" s="1"/>
  <c r="D76" i="4"/>
  <c r="G30" i="4"/>
  <c r="H191" i="5" s="1"/>
  <c r="E24" i="4"/>
  <c r="D29" i="4"/>
  <c r="E26" i="4"/>
  <c r="D141" i="5" s="1"/>
  <c r="H36" i="4"/>
  <c r="G35" i="4"/>
  <c r="C34" i="4"/>
  <c r="B33" i="4"/>
  <c r="G32" i="4"/>
  <c r="H193" i="5" s="1"/>
  <c r="H30" i="4"/>
  <c r="I191" i="5" s="1"/>
  <c r="H28" i="4"/>
  <c r="I189" i="5" s="1"/>
  <c r="H73" i="4"/>
  <c r="H123" i="4"/>
  <c r="F31" i="4"/>
  <c r="E192" i="5" s="1"/>
  <c r="G38" i="4"/>
  <c r="G26" i="4"/>
  <c r="H187" i="5" s="1"/>
  <c r="B29" i="4"/>
  <c r="F77" i="4"/>
  <c r="E25" i="4"/>
  <c r="D28" i="4"/>
  <c r="C76" i="4"/>
  <c r="D72" i="4"/>
  <c r="D37" i="4"/>
  <c r="C27" i="4"/>
  <c r="C4" i="10" s="1"/>
  <c r="D36" i="4"/>
  <c r="D35" i="4"/>
  <c r="H34" i="4"/>
  <c r="C33" i="4"/>
  <c r="H32" i="4"/>
  <c r="I193" i="5" s="1"/>
  <c r="H29" i="4"/>
  <c r="I190" i="5" s="1"/>
  <c r="H27" i="4"/>
  <c r="G188" i="5" s="1"/>
  <c r="F188" i="5" s="1"/>
  <c r="E31" i="4"/>
  <c r="G52" i="10" s="1"/>
  <c r="H131" i="4"/>
  <c r="G16" i="4"/>
  <c r="C21" i="4"/>
  <c r="F29" i="4"/>
  <c r="E190" i="5" s="1"/>
  <c r="F37" i="4"/>
  <c r="F25" i="4"/>
  <c r="E186" i="5" s="1"/>
  <c r="B74" i="4"/>
  <c r="D75" i="4"/>
  <c r="D77" i="4"/>
  <c r="C24" i="4"/>
  <c r="E27" i="4"/>
  <c r="B28" i="4"/>
  <c r="F36" i="4"/>
  <c r="H35" i="4"/>
  <c r="B34" i="4"/>
  <c r="G33" i="4"/>
  <c r="H194" i="5" s="1"/>
  <c r="B32" i="4"/>
  <c r="H16" i="4"/>
  <c r="D31" i="4"/>
  <c r="G72" i="4"/>
  <c r="G74" i="4"/>
  <c r="D30" i="4"/>
  <c r="F76" i="4"/>
  <c r="F24" i="4"/>
  <c r="F26" i="4"/>
  <c r="E187" i="5" s="1"/>
  <c r="B76" i="4"/>
  <c r="B71" i="4"/>
  <c r="E78" i="4"/>
  <c r="B123" i="4"/>
  <c r="B37" i="4"/>
  <c r="D52" i="4"/>
  <c r="C45" i="4"/>
  <c r="E51" i="4"/>
  <c r="H72" i="4"/>
  <c r="H126" i="4"/>
  <c r="H61" i="4"/>
  <c r="D158" i="5" s="1"/>
  <c r="G77" i="4"/>
  <c r="G71" i="4"/>
  <c r="E61" i="4"/>
  <c r="F73" i="4"/>
  <c r="F56" i="4"/>
  <c r="E76" i="4"/>
  <c r="E59" i="4"/>
  <c r="Q36" i="10" s="1"/>
  <c r="E77" i="4"/>
  <c r="C72" i="4"/>
  <c r="B44" i="10" s="1"/>
  <c r="C74" i="4"/>
  <c r="C57" i="4"/>
  <c r="C78" i="4"/>
  <c r="D40" i="4"/>
  <c r="B42" i="4"/>
  <c r="C46" i="4"/>
  <c r="D89" i="5" s="1"/>
  <c r="C89" i="5" s="1"/>
  <c r="B89" i="5" s="1"/>
  <c r="B48" i="4"/>
  <c r="D47" i="4"/>
  <c r="H77" i="4"/>
  <c r="H41" i="4"/>
  <c r="E62" i="4"/>
  <c r="E155" i="5" s="1"/>
  <c r="G73" i="4"/>
  <c r="G58" i="4"/>
  <c r="C61" i="4"/>
  <c r="B60" i="4"/>
  <c r="F71" i="4"/>
  <c r="C43" i="4"/>
  <c r="C51" i="5" s="1"/>
  <c r="E71" i="4"/>
  <c r="B72" i="4"/>
  <c r="D78" i="4"/>
  <c r="E72" i="4"/>
  <c r="B58" i="4"/>
  <c r="D57" i="4"/>
  <c r="B57" i="4"/>
  <c r="H75" i="4"/>
  <c r="H58" i="4"/>
  <c r="G211" i="5" s="1"/>
  <c r="H117" i="4"/>
  <c r="F62" i="4"/>
  <c r="G22" i="4"/>
  <c r="G76" i="4"/>
  <c r="G56" i="4"/>
  <c r="G40" i="4"/>
  <c r="B61" i="4"/>
  <c r="F60" i="4"/>
  <c r="F72" i="4"/>
  <c r="D14" i="4"/>
  <c r="B75" i="4"/>
  <c r="E73" i="4"/>
  <c r="F44" i="10" s="1"/>
  <c r="C75" i="4"/>
  <c r="B59" i="4"/>
  <c r="D58" i="4"/>
  <c r="H44" i="4"/>
  <c r="B119" i="5"/>
  <c r="B220" i="5"/>
  <c r="E86" i="4"/>
  <c r="F85" i="4"/>
  <c r="G60" i="4"/>
  <c r="B83" i="4"/>
  <c r="E58" i="4"/>
  <c r="Q34" i="10" s="1"/>
  <c r="D56" i="4"/>
  <c r="G85" i="4"/>
  <c r="C84" i="4"/>
  <c r="D82" i="5" s="1"/>
  <c r="C82" i="5" s="1"/>
  <c r="B82" i="5" s="1"/>
  <c r="H32" i="8" s="1"/>
  <c r="E57" i="10" s="1"/>
  <c r="D128" i="4"/>
  <c r="E56" i="4"/>
  <c r="C83" i="4"/>
  <c r="D81" i="5" s="1"/>
  <c r="C81" i="5" s="1"/>
  <c r="B81" i="5" s="1"/>
  <c r="H31" i="8" s="1"/>
  <c r="C56" i="4"/>
  <c r="C58" i="4"/>
  <c r="A211" i="5" s="1"/>
  <c r="D83" i="4"/>
  <c r="E82" i="4"/>
  <c r="H83" i="4"/>
  <c r="B85" i="4"/>
  <c r="C60" i="4"/>
  <c r="B457" i="5" s="1"/>
  <c r="F59" i="4"/>
  <c r="F18" i="4"/>
  <c r="D59" i="4"/>
  <c r="B19" i="4"/>
  <c r="E62" i="5" s="1"/>
  <c r="C81" i="4"/>
  <c r="E85" i="4"/>
  <c r="E84" i="4"/>
  <c r="E114" i="4"/>
  <c r="F83" i="4"/>
  <c r="B82" i="4"/>
  <c r="G74" i="6"/>
  <c r="I74" i="6"/>
  <c r="G73" i="6"/>
  <c r="I73" i="6"/>
  <c r="G72" i="6"/>
  <c r="I72" i="6"/>
  <c r="H21" i="4"/>
  <c r="H114" i="4"/>
  <c r="D22" i="4"/>
  <c r="B21" i="4"/>
  <c r="F15" i="4"/>
  <c r="F115" i="4"/>
  <c r="D20" i="4"/>
  <c r="E117" i="4"/>
  <c r="G83" i="5" s="1"/>
  <c r="B16" i="4"/>
  <c r="C15" i="4"/>
  <c r="C16" i="4"/>
  <c r="H20" i="4"/>
  <c r="E49" i="5" s="1"/>
  <c r="C49" i="5" s="1"/>
  <c r="H15" i="4"/>
  <c r="H118" i="4"/>
  <c r="H115" i="4"/>
  <c r="C22" i="4"/>
  <c r="G17" i="4"/>
  <c r="C135" i="5" s="1"/>
  <c r="G14" i="4"/>
  <c r="G117" i="4"/>
  <c r="E21" i="4"/>
  <c r="F116" i="4"/>
  <c r="B20" i="4"/>
  <c r="D48" i="5" s="1"/>
  <c r="E119" i="4"/>
  <c r="E17" i="4"/>
  <c r="C14" i="4"/>
  <c r="D19" i="4"/>
  <c r="C115" i="4"/>
  <c r="D85" i="5" s="1"/>
  <c r="H18" i="4"/>
  <c r="F22" i="4"/>
  <c r="G15" i="4"/>
  <c r="G19" i="4"/>
  <c r="G115" i="4"/>
  <c r="E20" i="4"/>
  <c r="B76" i="5" s="1"/>
  <c r="B18" i="4"/>
  <c r="C46" i="5" s="1"/>
  <c r="C17" i="4"/>
  <c r="C19" i="4"/>
  <c r="C65" i="5" s="1"/>
  <c r="C118" i="4"/>
  <c r="D15" i="4"/>
  <c r="B113" i="4"/>
  <c r="H119" i="4"/>
  <c r="G18" i="4"/>
  <c r="G119" i="4"/>
  <c r="F20" i="4"/>
  <c r="F17" i="4"/>
  <c r="B135" i="5" s="1"/>
  <c r="F19" i="4"/>
  <c r="C20" i="4"/>
  <c r="D17" i="4"/>
  <c r="B17" i="4"/>
  <c r="E132" i="5" s="1"/>
  <c r="B132" i="5" s="1"/>
  <c r="B78" i="10" s="1"/>
  <c r="D18" i="4"/>
  <c r="C113" i="4"/>
  <c r="B119" i="4"/>
  <c r="H113" i="4"/>
  <c r="H22" i="4"/>
  <c r="G114" i="4"/>
  <c r="F21" i="4"/>
  <c r="F14" i="4"/>
  <c r="E113" i="4"/>
  <c r="D16" i="4"/>
  <c r="E18" i="4"/>
  <c r="D60" i="5" s="1"/>
  <c r="E19" i="4"/>
  <c r="B77" i="5" s="1"/>
  <c r="F311" i="5" s="1"/>
  <c r="B117" i="4"/>
  <c r="H17" i="4"/>
  <c r="D135" i="5" s="1"/>
  <c r="H116" i="4"/>
  <c r="E22" i="4"/>
  <c r="G116" i="4"/>
  <c r="G21" i="4"/>
  <c r="F118" i="4"/>
  <c r="F113" i="4"/>
  <c r="E116" i="4"/>
  <c r="E14" i="4"/>
  <c r="B14" i="4"/>
  <c r="E16" i="4"/>
  <c r="C117" i="4"/>
  <c r="B81" i="4"/>
  <c r="B104" i="4"/>
  <c r="H14" i="4"/>
  <c r="B22" i="4"/>
  <c r="G20" i="4"/>
  <c r="G118" i="4"/>
  <c r="D21" i="4"/>
  <c r="F16" i="4"/>
  <c r="F117" i="4"/>
  <c r="F119" i="4"/>
  <c r="E118" i="4"/>
  <c r="E115" i="4"/>
  <c r="D84" i="5" s="1"/>
  <c r="E15" i="4"/>
  <c r="D118" i="4"/>
  <c r="H52" i="4"/>
  <c r="E49" i="4"/>
  <c r="E148" i="5" s="1"/>
  <c r="B52" i="4"/>
  <c r="F51" i="4"/>
  <c r="E50" i="4"/>
  <c r="D49" i="4"/>
  <c r="E47" i="4"/>
  <c r="H129" i="4"/>
  <c r="H128" i="4"/>
  <c r="E131" i="4"/>
  <c r="E46" i="4"/>
  <c r="B130" i="4"/>
  <c r="E45" i="4"/>
  <c r="C33" i="10" s="1"/>
  <c r="G129" i="4"/>
  <c r="D44" i="4"/>
  <c r="F43" i="4"/>
  <c r="E40" i="4"/>
  <c r="D82" i="4"/>
  <c r="C125" i="4"/>
  <c r="C116" i="4"/>
  <c r="C114" i="4"/>
  <c r="F40" i="10" s="1"/>
  <c r="B27" i="4"/>
  <c r="D119" i="4"/>
  <c r="D114" i="4"/>
  <c r="E42" i="4"/>
  <c r="P35" i="10" s="1"/>
  <c r="B118" i="4"/>
  <c r="B40" i="4"/>
  <c r="C122" i="4"/>
  <c r="B51" i="4"/>
  <c r="H50" i="4"/>
  <c r="B49" i="4"/>
  <c r="E48" i="4"/>
  <c r="C47" i="4"/>
  <c r="H122" i="4"/>
  <c r="G131" i="4"/>
  <c r="H46" i="4"/>
  <c r="G130" i="4"/>
  <c r="G43" i="4"/>
  <c r="G122" i="4"/>
  <c r="G125" i="4"/>
  <c r="F45" i="4"/>
  <c r="D129" i="4"/>
  <c r="E44" i="4"/>
  <c r="F41" i="4"/>
  <c r="D43" i="4"/>
  <c r="E128" i="4"/>
  <c r="B26" i="4"/>
  <c r="B127" i="4"/>
  <c r="D42" i="4"/>
  <c r="B125" i="4"/>
  <c r="B114" i="4"/>
  <c r="D26" i="4"/>
  <c r="E52" i="4"/>
  <c r="F52" i="4"/>
  <c r="G51" i="4"/>
  <c r="B50" i="4"/>
  <c r="G49" i="4"/>
  <c r="C48" i="4"/>
  <c r="C37" i="10" s="1"/>
  <c r="F47" i="4"/>
  <c r="H42" i="4"/>
  <c r="F131" i="4"/>
  <c r="F46" i="4"/>
  <c r="G126" i="4"/>
  <c r="B45" i="4"/>
  <c r="E129" i="4"/>
  <c r="C44" i="4"/>
  <c r="B128" i="4"/>
  <c r="E122" i="4"/>
  <c r="C124" i="4"/>
  <c r="C82" i="4"/>
  <c r="C127" i="4"/>
  <c r="D41" i="4"/>
  <c r="D117" i="4"/>
  <c r="D113" i="4"/>
  <c r="B24" i="4"/>
  <c r="C52" i="4"/>
  <c r="D51" i="4"/>
  <c r="B47" i="4"/>
  <c r="H124" i="4"/>
  <c r="B46" i="4"/>
  <c r="E130" i="4"/>
  <c r="G42" i="4"/>
  <c r="C129" i="4"/>
  <c r="C128" i="4"/>
  <c r="E126" i="4"/>
  <c r="C126" i="4"/>
  <c r="C41" i="4"/>
  <c r="D124" i="4"/>
  <c r="D126" i="4"/>
  <c r="C42" i="4"/>
  <c r="E168" i="5" s="1"/>
  <c r="D125" i="4"/>
  <c r="B122" i="4"/>
  <c r="F50" i="4"/>
  <c r="H48" i="4"/>
  <c r="C38" i="10" s="1"/>
  <c r="G52" i="4"/>
  <c r="H51" i="4"/>
  <c r="C39" i="10" s="1"/>
  <c r="G50" i="4"/>
  <c r="C49" i="4"/>
  <c r="B169" i="5" s="1"/>
  <c r="F48" i="4"/>
  <c r="H47" i="4"/>
  <c r="H45" i="4"/>
  <c r="E178" i="5" s="1"/>
  <c r="H125" i="4"/>
  <c r="B131" i="4"/>
  <c r="G46" i="4"/>
  <c r="D130" i="4"/>
  <c r="G124" i="4"/>
  <c r="G45" i="4"/>
  <c r="F129" i="4"/>
  <c r="F44" i="4"/>
  <c r="F42" i="4"/>
  <c r="F40" i="4"/>
  <c r="E123" i="4"/>
  <c r="E38" i="4"/>
  <c r="O187" i="5" s="1"/>
  <c r="C40" i="4"/>
  <c r="C119" i="4"/>
  <c r="C25" i="4"/>
  <c r="D127" i="4"/>
  <c r="D25" i="4"/>
  <c r="D116" i="4"/>
  <c r="B126" i="4"/>
  <c r="B115" i="4"/>
  <c r="C50" i="4"/>
  <c r="F49" i="4"/>
  <c r="D48" i="4"/>
  <c r="G47" i="4"/>
  <c r="H43" i="4"/>
  <c r="D215" i="5" s="1"/>
  <c r="H127" i="4"/>
  <c r="H40" i="4"/>
  <c r="D131" i="4"/>
  <c r="D46" i="4"/>
  <c r="H130" i="4"/>
  <c r="G128" i="4"/>
  <c r="G123" i="4"/>
  <c r="D45" i="4"/>
  <c r="B44" i="4"/>
  <c r="F127" i="4"/>
  <c r="F122" i="4"/>
  <c r="E43" i="4"/>
  <c r="E125" i="4"/>
  <c r="C37" i="4"/>
  <c r="E37" i="4"/>
  <c r="C26" i="4"/>
  <c r="B5" i="10" s="1"/>
  <c r="D27" i="4"/>
  <c r="E127" i="4"/>
  <c r="D115" i="4"/>
  <c r="B25" i="4"/>
  <c r="C51" i="4"/>
  <c r="J58" i="10" s="1"/>
  <c r="D50" i="4"/>
  <c r="G48" i="4"/>
  <c r="C131" i="4"/>
  <c r="F130" i="4"/>
  <c r="G41" i="4"/>
  <c r="B129" i="4"/>
  <c r="G44" i="4"/>
  <c r="F126" i="4"/>
  <c r="F124" i="4"/>
  <c r="B43" i="4"/>
  <c r="E41" i="4"/>
  <c r="E124" i="4"/>
  <c r="D88" i="5" s="1"/>
  <c r="C123" i="4"/>
  <c r="D122" i="4"/>
  <c r="D123" i="4"/>
  <c r="E307" i="5"/>
  <c r="I83" i="6"/>
  <c r="I141" i="6"/>
  <c r="I79" i="6"/>
  <c r="C233" i="5"/>
  <c r="B233" i="5" s="1"/>
  <c r="G56" i="10"/>
  <c r="D94" i="5"/>
  <c r="B94" i="5" s="1"/>
  <c r="G55" i="10"/>
  <c r="E225" i="5"/>
  <c r="B226" i="5" s="1"/>
  <c r="C234" i="5"/>
  <c r="B234" i="5" s="1"/>
  <c r="B37" i="5"/>
  <c r="A279" i="5"/>
  <c r="C301" i="5"/>
  <c r="B301" i="5" s="1"/>
  <c r="C63" i="10" s="1"/>
  <c r="G58" i="10"/>
  <c r="F302" i="5"/>
  <c r="D302" i="5" s="1"/>
  <c r="C302" i="5" s="1"/>
  <c r="I260" i="5"/>
  <c r="E260" i="5"/>
  <c r="C260" i="5"/>
  <c r="B229" i="5"/>
  <c r="B38" i="5"/>
  <c r="C182" i="5"/>
  <c r="B182" i="5" s="1"/>
  <c r="G187" i="5" l="1"/>
  <c r="J187" i="5" s="1"/>
  <c r="C187" i="5" s="1"/>
  <c r="E41" i="6" s="1"/>
  <c r="G41" i="6" s="1"/>
  <c r="C40" i="10"/>
  <c r="D167" i="5"/>
  <c r="H140" i="5"/>
  <c r="G84" i="5"/>
  <c r="B84" i="5" s="1"/>
  <c r="D140" i="5"/>
  <c r="F148" i="5"/>
  <c r="P14" i="10"/>
  <c r="A174" i="5"/>
  <c r="B458" i="5" s="1"/>
  <c r="O14" i="10"/>
  <c r="F15" i="10"/>
  <c r="B174" i="5"/>
  <c r="B459" i="5" s="1"/>
  <c r="D470" i="5" s="1"/>
  <c r="E39" i="6"/>
  <c r="G39" i="6" s="1"/>
  <c r="E11" i="6"/>
  <c r="I11" i="6" s="1"/>
  <c r="E58" i="10"/>
  <c r="G194" i="5"/>
  <c r="F194" i="5" s="1"/>
  <c r="B194" i="5" s="1"/>
  <c r="B442" i="5"/>
  <c r="I27" i="10"/>
  <c r="C53" i="5"/>
  <c r="B54" i="5" s="1"/>
  <c r="D173" i="5"/>
  <c r="D193" i="5"/>
  <c r="A193" i="5" s="1"/>
  <c r="M193" i="5" s="1"/>
  <c r="D57" i="10"/>
  <c r="G59" i="10" s="1"/>
  <c r="P37" i="10"/>
  <c r="F140" i="5"/>
  <c r="G140" i="5"/>
  <c r="G85" i="5"/>
  <c r="B85" i="5" s="1"/>
  <c r="E51" i="10" s="1"/>
  <c r="B140" i="5"/>
  <c r="A206" i="5"/>
  <c r="P38" i="10"/>
  <c r="C32" i="10"/>
  <c r="G217" i="5"/>
  <c r="F217" i="5" s="1"/>
  <c r="C31" i="10"/>
  <c r="B144" i="5"/>
  <c r="D270" i="5" s="1"/>
  <c r="E188" i="5"/>
  <c r="A188" i="5" s="1"/>
  <c r="C144" i="5"/>
  <c r="D144" i="5" s="1"/>
  <c r="D142" i="5"/>
  <c r="C142" i="5" s="1"/>
  <c r="B142" i="5" s="1"/>
  <c r="C5" i="10" s="1"/>
  <c r="I186" i="5"/>
  <c r="J186" i="5" s="1"/>
  <c r="G6" i="10" s="1"/>
  <c r="F186" i="5"/>
  <c r="B186" i="5" s="1"/>
  <c r="D4" i="10" s="1"/>
  <c r="B302" i="5"/>
  <c r="B51" i="6" s="1"/>
  <c r="D189" i="5"/>
  <c r="A189" i="5" s="1"/>
  <c r="M189" i="5" s="1"/>
  <c r="E194" i="5"/>
  <c r="A194" i="5" s="1"/>
  <c r="M194" i="5" s="1"/>
  <c r="G192" i="5"/>
  <c r="J192" i="5" s="1"/>
  <c r="C192" i="5" s="1"/>
  <c r="A168" i="5"/>
  <c r="B443" i="5" s="1"/>
  <c r="C36" i="10"/>
  <c r="D76" i="5"/>
  <c r="D77" i="5"/>
  <c r="B300" i="5"/>
  <c r="B299" i="5"/>
  <c r="A312" i="5"/>
  <c r="D148" i="5"/>
  <c r="G191" i="5"/>
  <c r="J191" i="5" s="1"/>
  <c r="C191" i="5" s="1"/>
  <c r="D186" i="5"/>
  <c r="A186" i="5" s="1"/>
  <c r="M186" i="5" s="1"/>
  <c r="G190" i="5"/>
  <c r="F190" i="5" s="1"/>
  <c r="B190" i="5" s="1"/>
  <c r="D192" i="5"/>
  <c r="A192" i="5" s="1"/>
  <c r="M192" i="5" s="1"/>
  <c r="G189" i="5"/>
  <c r="F189" i="5" s="1"/>
  <c r="B189" i="5" s="1"/>
  <c r="C141" i="5"/>
  <c r="B141" i="5" s="1"/>
  <c r="C6" i="10" s="1"/>
  <c r="D190" i="5"/>
  <c r="A190" i="5" s="1"/>
  <c r="M190" i="5" s="1"/>
  <c r="B188" i="5"/>
  <c r="D191" i="5"/>
  <c r="A191" i="5" s="1"/>
  <c r="M191" i="5" s="1"/>
  <c r="D154" i="5"/>
  <c r="E179" i="5"/>
  <c r="D179" i="5" s="1"/>
  <c r="F12" i="10"/>
  <c r="D187" i="5"/>
  <c r="A187" i="5" s="1"/>
  <c r="M187" i="5" s="1"/>
  <c r="I188" i="5"/>
  <c r="J188" i="5" s="1"/>
  <c r="C188" i="5" s="1"/>
  <c r="N188" i="5"/>
  <c r="G193" i="5"/>
  <c r="F193" i="5" s="1"/>
  <c r="B193" i="5" s="1"/>
  <c r="C154" i="5"/>
  <c r="B154" i="5" s="1"/>
  <c r="I133" i="5"/>
  <c r="I134" i="5" s="1"/>
  <c r="C211" i="5"/>
  <c r="C179" i="5"/>
  <c r="Q37" i="10"/>
  <c r="C30" i="10"/>
  <c r="B51" i="5"/>
  <c r="F211" i="5"/>
  <c r="E211" i="5" s="1"/>
  <c r="C173" i="5" s="1"/>
  <c r="B279" i="5"/>
  <c r="C279" i="5" s="1"/>
  <c r="D279" i="5" s="1"/>
  <c r="D273" i="5"/>
  <c r="D62" i="5"/>
  <c r="C64" i="5" s="1"/>
  <c r="B64" i="5" s="1"/>
  <c r="A52" i="5"/>
  <c r="C47" i="5" s="1"/>
  <c r="C62" i="5"/>
  <c r="Q35" i="10"/>
  <c r="C48" i="5"/>
  <c r="B48" i="5" s="1"/>
  <c r="F26" i="8" s="1"/>
  <c r="H26" i="8" s="1"/>
  <c r="B278" i="5"/>
  <c r="C60" i="5"/>
  <c r="C61" i="5" s="1"/>
  <c r="B61" i="5" s="1"/>
  <c r="H15" i="8" s="1"/>
  <c r="F15" i="8" s="1"/>
  <c r="B65" i="5"/>
  <c r="E70" i="10" s="1"/>
  <c r="C57" i="5"/>
  <c r="D49" i="5"/>
  <c r="B49" i="5" s="1"/>
  <c r="D178" i="5"/>
  <c r="D207" i="5"/>
  <c r="E85" i="5"/>
  <c r="C206" i="5"/>
  <c r="E207" i="5"/>
  <c r="C207" i="5" s="1"/>
  <c r="D46" i="5"/>
  <c r="B46" i="5" s="1"/>
  <c r="E133" i="5"/>
  <c r="C133" i="5" s="1"/>
  <c r="D168" i="5"/>
  <c r="F58" i="5"/>
  <c r="E58" i="5" s="1"/>
  <c r="B143" i="5"/>
  <c r="E275" i="5" s="1"/>
  <c r="C168" i="5"/>
  <c r="C215" i="5"/>
  <c r="B215" i="5" s="1"/>
  <c r="B217" i="5" s="1"/>
  <c r="P36" i="10"/>
  <c r="D58" i="10"/>
  <c r="C209" i="5"/>
  <c r="G48" i="10" s="1"/>
  <c r="C83" i="5"/>
  <c r="C88" i="5"/>
  <c r="B88" i="5" s="1"/>
  <c r="F35" i="10"/>
  <c r="B209" i="5"/>
  <c r="H217" i="5"/>
  <c r="B196" i="5"/>
  <c r="B197" i="5" s="1"/>
  <c r="C178" i="5"/>
  <c r="P34" i="10"/>
  <c r="D275" i="5"/>
  <c r="B61" i="10"/>
  <c r="C94" i="5"/>
  <c r="B95" i="5" s="1"/>
  <c r="D268" i="5" s="1"/>
  <c r="E302" i="5"/>
  <c r="F260" i="5"/>
  <c r="G260" i="5" s="1"/>
  <c r="H260" i="5"/>
  <c r="J260" i="5" s="1"/>
  <c r="E306" i="5"/>
  <c r="F187" i="5" l="1"/>
  <c r="B187" i="5" s="1"/>
  <c r="D6" i="10" s="1"/>
  <c r="E14" i="6"/>
  <c r="J14" i="6" s="1"/>
  <c r="N42" i="6"/>
  <c r="C140" i="5"/>
  <c r="C17" i="10" s="1"/>
  <c r="D50" i="10"/>
  <c r="E50" i="10"/>
  <c r="H37" i="8"/>
  <c r="D51" i="10"/>
  <c r="D53" i="10" s="1"/>
  <c r="F436" i="5" a="1"/>
  <c r="F436" i="5" s="1"/>
  <c r="D91" i="5"/>
  <c r="C156" i="5"/>
  <c r="C155" i="5"/>
  <c r="N14" i="10"/>
  <c r="F14" i="10" s="1"/>
  <c r="C462" i="5"/>
  <c r="C465" i="5"/>
  <c r="D467" i="5"/>
  <c r="E469" i="5"/>
  <c r="A175" i="5"/>
  <c r="C464" i="5"/>
  <c r="D466" i="5"/>
  <c r="C463" i="5"/>
  <c r="D465" i="5"/>
  <c r="C470" i="5"/>
  <c r="C467" i="5"/>
  <c r="D469" i="5"/>
  <c r="C466" i="5"/>
  <c r="D468" i="5"/>
  <c r="E470" i="5"/>
  <c r="C469" i="5"/>
  <c r="E468" i="5"/>
  <c r="C468" i="5"/>
  <c r="I39" i="6"/>
  <c r="I41" i="6"/>
  <c r="B41" i="6"/>
  <c r="G11" i="6"/>
  <c r="E45" i="6"/>
  <c r="I45" i="6" s="1"/>
  <c r="E46" i="6"/>
  <c r="I46" i="6" s="1"/>
  <c r="E42" i="6"/>
  <c r="G42" i="6" s="1"/>
  <c r="E15" i="6"/>
  <c r="I15" i="6" s="1"/>
  <c r="D312" i="5" a="1"/>
  <c r="D312" i="5" s="1"/>
  <c r="F107" i="5"/>
  <c r="J194" i="5"/>
  <c r="C194" i="5" s="1"/>
  <c r="B53" i="5"/>
  <c r="C349" i="5" s="1" a="1"/>
  <c r="C349" i="5" s="1"/>
  <c r="F11" i="10"/>
  <c r="L47" i="5"/>
  <c r="L48" i="5"/>
  <c r="L49" i="5"/>
  <c r="B173" i="5"/>
  <c r="B145" i="5"/>
  <c r="E91" i="5"/>
  <c r="A167" i="5"/>
  <c r="B166" i="5" s="1"/>
  <c r="A171" i="5" s="1"/>
  <c r="A173" i="5"/>
  <c r="B98" i="5"/>
  <c r="C98" i="5"/>
  <c r="F83" i="5"/>
  <c r="E217" i="5"/>
  <c r="D217" i="5"/>
  <c r="G44" i="10"/>
  <c r="C186" i="5"/>
  <c r="F192" i="5"/>
  <c r="B192" i="5" s="1"/>
  <c r="C41" i="6"/>
  <c r="B168" i="5"/>
  <c r="A170" i="5" s="1"/>
  <c r="C12" i="10"/>
  <c r="C312" i="5" a="1"/>
  <c r="C312" i="5" s="1"/>
  <c r="D349" i="5" a="1"/>
  <c r="D349" i="5" s="1"/>
  <c r="H53" i="5"/>
  <c r="H54" i="5" s="1"/>
  <c r="G54" i="10"/>
  <c r="G53" i="10"/>
  <c r="J189" i="5"/>
  <c r="C189" i="5" s="1"/>
  <c r="F191" i="5"/>
  <c r="B191" i="5" s="1"/>
  <c r="J190" i="5"/>
  <c r="C190" i="5" s="1"/>
  <c r="E6" i="10"/>
  <c r="B274" i="5"/>
  <c r="B179" i="5"/>
  <c r="B133" i="5"/>
  <c r="N189" i="5"/>
  <c r="E56" i="6"/>
  <c r="J193" i="5"/>
  <c r="C193" i="5" s="1"/>
  <c r="G63" i="10"/>
  <c r="B280" i="5"/>
  <c r="C65" i="10" s="1"/>
  <c r="D211" i="5"/>
  <c r="B212" i="5" s="1"/>
  <c r="F27" i="10" s="1"/>
  <c r="F28" i="10" s="1"/>
  <c r="B211" i="5"/>
  <c r="B282" i="5"/>
  <c r="F64" i="10" s="1"/>
  <c r="B281" i="5"/>
  <c r="B283" i="5" s="1"/>
  <c r="B63" i="5"/>
  <c r="D47" i="5"/>
  <c r="E47" i="5"/>
  <c r="C10" i="10"/>
  <c r="B331" i="5"/>
  <c r="B50" i="5"/>
  <c r="A331" i="5" s="1"/>
  <c r="F330" i="5" s="1" a="1"/>
  <c r="F330" i="5" s="1"/>
  <c r="B78" i="5"/>
  <c r="B79" i="5" s="1"/>
  <c r="H27" i="8" s="1"/>
  <c r="F27" i="8" s="1"/>
  <c r="B60" i="5"/>
  <c r="H14" i="8" s="1"/>
  <c r="F14" i="8" s="1"/>
  <c r="D57" i="5"/>
  <c r="B57" i="5" s="1"/>
  <c r="B69" i="10"/>
  <c r="B207" i="5"/>
  <c r="F275" i="5"/>
  <c r="C275" i="5"/>
  <c r="C274" i="5" s="1"/>
  <c r="B268" i="5"/>
  <c r="F265" i="5"/>
  <c r="A349" i="5"/>
  <c r="B178" i="5"/>
  <c r="F274" i="5"/>
  <c r="D262" i="5"/>
  <c r="F262" i="5" s="1"/>
  <c r="B266" i="5"/>
  <c r="G266" i="5" s="1"/>
  <c r="F269" i="5"/>
  <c r="D48" i="10"/>
  <c r="E48" i="10" s="1"/>
  <c r="C272" i="5"/>
  <c r="B104" i="5" s="1"/>
  <c r="C267" i="5"/>
  <c r="D267" i="5" s="1"/>
  <c r="D258" i="5" s="1"/>
  <c r="C270" i="5"/>
  <c r="D58" i="5"/>
  <c r="B59" i="5" s="1"/>
  <c r="A366" i="5"/>
  <c r="B275" i="5"/>
  <c r="A91" i="5"/>
  <c r="K85" i="5" s="1"/>
  <c r="G272" i="5"/>
  <c r="B270" i="5"/>
  <c r="B269" i="5"/>
  <c r="E272" i="5"/>
  <c r="B260" i="5"/>
  <c r="M260" i="5" s="1"/>
  <c r="C229" i="5" s="1"/>
  <c r="B262" i="5"/>
  <c r="B259" i="5" s="1"/>
  <c r="D272" i="5"/>
  <c r="B271" i="5"/>
  <c r="C269" i="5"/>
  <c r="F266" i="5"/>
  <c r="B258" i="5"/>
  <c r="C271" i="5"/>
  <c r="F12" i="8"/>
  <c r="C58" i="5"/>
  <c r="F270" i="5"/>
  <c r="B265" i="5"/>
  <c r="E265" i="5" s="1"/>
  <c r="C268" i="5"/>
  <c r="B267" i="5"/>
  <c r="B58" i="5"/>
  <c r="B273" i="5"/>
  <c r="E273" i="5" s="1"/>
  <c r="F273" i="5" s="1"/>
  <c r="K260" i="5"/>
  <c r="L260" i="5" s="1"/>
  <c r="G50" i="10"/>
  <c r="G51" i="10" s="1"/>
  <c r="D133" i="5"/>
  <c r="E274" i="5"/>
  <c r="B134" i="5"/>
  <c r="C29" i="10"/>
  <c r="A242" i="5"/>
  <c r="A243" i="5"/>
  <c r="G62" i="10"/>
  <c r="F63" i="10"/>
  <c r="F62" i="10"/>
  <c r="B235" i="5"/>
  <c r="E7" i="10"/>
  <c r="M188" i="5"/>
  <c r="A240" i="5"/>
  <c r="D71" i="10"/>
  <c r="A239" i="5"/>
  <c r="A241" i="5"/>
  <c r="B96" i="5"/>
  <c r="F61" i="10"/>
  <c r="C258" i="5"/>
  <c r="B172" i="5" l="1"/>
  <c r="C159" i="5" s="1"/>
  <c r="B175" i="5"/>
  <c r="B444" i="5"/>
  <c r="E455" i="5" s="1"/>
  <c r="C46" i="6"/>
  <c r="J15" i="6"/>
  <c r="B46" i="6"/>
  <c r="G15" i="6"/>
  <c r="G46" i="6"/>
  <c r="G14" i="6"/>
  <c r="C42" i="6"/>
  <c r="I42" i="6"/>
  <c r="B42" i="6"/>
  <c r="I14" i="6"/>
  <c r="B45" i="6"/>
  <c r="G45" i="6"/>
  <c r="C45" i="6"/>
  <c r="E47" i="6"/>
  <c r="C47" i="6" s="1"/>
  <c r="E44" i="6"/>
  <c r="C44" i="6" s="1"/>
  <c r="E40" i="6"/>
  <c r="G40" i="6" s="1"/>
  <c r="E43" i="6"/>
  <c r="I43" i="6" s="1"/>
  <c r="H12" i="8"/>
  <c r="B67" i="6"/>
  <c r="E48" i="6"/>
  <c r="C48" i="6" s="1"/>
  <c r="G56" i="6"/>
  <c r="G57" i="6"/>
  <c r="L438" i="5"/>
  <c r="D437" i="5"/>
  <c r="O28" i="8"/>
  <c r="O33" i="8"/>
  <c r="O31" i="8"/>
  <c r="O32" i="8"/>
  <c r="O29" i="8"/>
  <c r="C15" i="10"/>
  <c r="C14" i="10" s="1"/>
  <c r="C16" i="10" s="1"/>
  <c r="J85" i="5"/>
  <c r="D59" i="10" s="1"/>
  <c r="C66" i="5"/>
  <c r="B66" i="5" s="1"/>
  <c r="D66" i="5" s="1"/>
  <c r="D17" i="8" s="1"/>
  <c r="L50" i="5"/>
  <c r="N48" i="5" s="1"/>
  <c r="C64" i="10"/>
  <c r="E71" i="6"/>
  <c r="B236" i="5"/>
  <c r="B227" i="5"/>
  <c r="B219" i="5"/>
  <c r="A219" i="5"/>
  <c r="B195" i="5"/>
  <c r="C273" i="5" s="1"/>
  <c r="A244" i="5" s="1"/>
  <c r="D274" i="5"/>
  <c r="B180" i="5"/>
  <c r="G408" i="5" a="1"/>
  <c r="G408" i="5" s="1"/>
  <c r="B155" i="5"/>
  <c r="D438" i="5"/>
  <c r="G274" i="5"/>
  <c r="G7" i="10"/>
  <c r="I56" i="6"/>
  <c r="A213" i="5"/>
  <c r="C23" i="6" s="1"/>
  <c r="B47" i="5"/>
  <c r="D70" i="10"/>
  <c r="M47" i="10" s="1"/>
  <c r="D65" i="5"/>
  <c r="F408" i="5" a="1"/>
  <c r="F408" i="5" s="1"/>
  <c r="C331" i="5" a="1"/>
  <c r="C331" i="5" s="1"/>
  <c r="A338" i="5" s="1"/>
  <c r="E59" i="6"/>
  <c r="G59" i="6" s="1"/>
  <c r="C11" i="10"/>
  <c r="B68" i="10"/>
  <c r="D69" i="10"/>
  <c r="D68" i="10"/>
  <c r="G275" i="5"/>
  <c r="G268" i="5"/>
  <c r="H268" i="5" s="1"/>
  <c r="E270" i="5"/>
  <c r="K91" i="5"/>
  <c r="L91" i="5"/>
  <c r="G265" i="5"/>
  <c r="E268" i="5"/>
  <c r="G269" i="5"/>
  <c r="E269" i="5"/>
  <c r="G270" i="5"/>
  <c r="H270" i="5" s="1"/>
  <c r="D265" i="5"/>
  <c r="E266" i="5"/>
  <c r="E267" i="5"/>
  <c r="E271" i="5"/>
  <c r="H272" i="5"/>
  <c r="G271" i="5"/>
  <c r="G267" i="5"/>
  <c r="H267" i="5" s="1"/>
  <c r="G61" i="10"/>
  <c r="C262" i="5"/>
  <c r="N191" i="5"/>
  <c r="D259" i="5"/>
  <c r="H258" i="5"/>
  <c r="F258" i="5"/>
  <c r="C259" i="5"/>
  <c r="M42" i="6" l="1"/>
  <c r="L42" i="6" s="1"/>
  <c r="C160" i="5"/>
  <c r="B156" i="5" s="1"/>
  <c r="A176" i="5"/>
  <c r="C34" i="6"/>
  <c r="H28" i="8"/>
  <c r="H29" i="8"/>
  <c r="C450" i="5"/>
  <c r="C455" i="5"/>
  <c r="D452" i="5"/>
  <c r="C447" i="5"/>
  <c r="E454" i="5"/>
  <c r="C449" i="5"/>
  <c r="D451" i="5"/>
  <c r="D453" i="5"/>
  <c r="C454" i="5"/>
  <c r="E453" i="5"/>
  <c r="D454" i="5"/>
  <c r="C453" i="5"/>
  <c r="D455" i="5"/>
  <c r="C452" i="5"/>
  <c r="C451" i="5"/>
  <c r="C448" i="5"/>
  <c r="D450" i="5"/>
  <c r="B47" i="6"/>
  <c r="G43" i="6"/>
  <c r="C43" i="6"/>
  <c r="B43" i="6"/>
  <c r="G47" i="6"/>
  <c r="I47" i="6"/>
  <c r="I44" i="6"/>
  <c r="B44" i="6"/>
  <c r="G44" i="6"/>
  <c r="I40" i="6"/>
  <c r="B40" i="6"/>
  <c r="C40" i="6"/>
  <c r="B48" i="6"/>
  <c r="G48" i="6"/>
  <c r="I48" i="6"/>
  <c r="I139" i="6"/>
  <c r="C15" i="6"/>
  <c r="C36" i="6"/>
  <c r="C35" i="6"/>
  <c r="C20" i="6"/>
  <c r="D439" i="5"/>
  <c r="I57" i="6"/>
  <c r="I60" i="6"/>
  <c r="C28" i="6"/>
  <c r="E24" i="6"/>
  <c r="J24" i="6" s="1"/>
  <c r="B159" i="5"/>
  <c r="N47" i="5"/>
  <c r="N49" i="5"/>
  <c r="C70" i="5"/>
  <c r="B70" i="5" s="1"/>
  <c r="D70" i="5" s="1"/>
  <c r="A21" i="8" s="1"/>
  <c r="C71" i="5"/>
  <c r="B71" i="5" s="1"/>
  <c r="D71" i="5" s="1"/>
  <c r="A22" i="8" s="1"/>
  <c r="C72" i="5"/>
  <c r="B72" i="5" s="1"/>
  <c r="D72" i="5" s="1"/>
  <c r="A23" i="8" s="1"/>
  <c r="B73" i="5"/>
  <c r="D73" i="5" s="1"/>
  <c r="A24" i="8" s="1"/>
  <c r="C73" i="5"/>
  <c r="H17" i="8"/>
  <c r="C67" i="5"/>
  <c r="B67" i="5" s="1"/>
  <c r="D67" i="5" s="1"/>
  <c r="A18" i="8" s="1"/>
  <c r="C68" i="5"/>
  <c r="B68" i="5" s="1"/>
  <c r="D68" i="5" s="1"/>
  <c r="A19" i="8" s="1"/>
  <c r="D54" i="10"/>
  <c r="C74" i="5"/>
  <c r="B74" i="5"/>
  <c r="D74" i="5" s="1"/>
  <c r="A25" i="8" s="1"/>
  <c r="C69" i="5"/>
  <c r="B69" i="5" s="1"/>
  <c r="D69" i="5" s="1"/>
  <c r="A20" i="8" s="1"/>
  <c r="G57" i="10"/>
  <c r="D269" i="5"/>
  <c r="H269" i="5" s="1"/>
  <c r="D266" i="5"/>
  <c r="D271" i="5" s="1"/>
  <c r="H271" i="5" s="1"/>
  <c r="B244" i="5"/>
  <c r="G273" i="5"/>
  <c r="H273" i="5" s="1"/>
  <c r="B56" i="5"/>
  <c r="F16" i="8"/>
  <c r="H16" i="8" s="1"/>
  <c r="B460" i="5"/>
  <c r="B349" i="5"/>
  <c r="C4" i="6"/>
  <c r="B312" i="5"/>
  <c r="A316" i="5" s="1"/>
  <c r="F10" i="10"/>
  <c r="E69" i="10" s="1"/>
  <c r="M258" i="5"/>
  <c r="D120" i="5" s="1"/>
  <c r="L47" i="10"/>
  <c r="E349" i="5"/>
  <c r="I71" i="6"/>
  <c r="G71" i="6"/>
  <c r="A335" i="5"/>
  <c r="A341" i="5"/>
  <c r="A340" i="5"/>
  <c r="M91" i="5"/>
  <c r="H33" i="8" s="1"/>
  <c r="E262" i="5"/>
  <c r="G262" i="5" s="1"/>
  <c r="L262" i="5" s="1"/>
  <c r="M262" i="5"/>
  <c r="A342" i="5"/>
  <c r="A343" i="5"/>
  <c r="A344" i="5"/>
  <c r="A339" i="5"/>
  <c r="A336" i="5"/>
  <c r="A334" i="5"/>
  <c r="A346" i="5"/>
  <c r="A345" i="5"/>
  <c r="A337" i="5"/>
  <c r="B230" i="5"/>
  <c r="B237" i="5"/>
  <c r="D436" i="5" s="1"/>
  <c r="K187" i="5"/>
  <c r="K190" i="5"/>
  <c r="K191" i="5"/>
  <c r="K193" i="5"/>
  <c r="K192" i="5"/>
  <c r="K194" i="5"/>
  <c r="K188" i="5"/>
  <c r="K189" i="5"/>
  <c r="E259" i="5"/>
  <c r="I259" i="5"/>
  <c r="F259" i="5"/>
  <c r="H259" i="5"/>
  <c r="M259" i="5"/>
  <c r="C104" i="5" s="1"/>
  <c r="E258" i="5"/>
  <c r="G258" i="5" s="1"/>
  <c r="I258" i="5"/>
  <c r="J258" i="5" s="1"/>
  <c r="A160" i="5" l="1"/>
  <c r="A159" i="5"/>
  <c r="C26" i="6" s="1"/>
  <c r="B160" i="5"/>
  <c r="B176" i="5" s="1"/>
  <c r="G138" i="6"/>
  <c r="I140" i="6"/>
  <c r="G139" i="6"/>
  <c r="J25" i="6"/>
  <c r="G137" i="6"/>
  <c r="I138" i="6"/>
  <c r="C51" i="6"/>
  <c r="I24" i="6"/>
  <c r="G24" i="6"/>
  <c r="B59" i="10"/>
  <c r="N47" i="10"/>
  <c r="B49" i="10" s="1"/>
  <c r="B57" i="10"/>
  <c r="B58" i="10"/>
  <c r="B56" i="10"/>
  <c r="H468" i="5"/>
  <c r="F470" i="5"/>
  <c r="G469" i="5"/>
  <c r="F467" i="5"/>
  <c r="G468" i="5"/>
  <c r="G465" i="5"/>
  <c r="F462" i="5"/>
  <c r="H469" i="5"/>
  <c r="F469" i="5"/>
  <c r="F464" i="5"/>
  <c r="G467" i="5"/>
  <c r="F468" i="5"/>
  <c r="F465" i="5"/>
  <c r="H470" i="5"/>
  <c r="F466" i="5"/>
  <c r="G466" i="5"/>
  <c r="G470" i="5"/>
  <c r="F463" i="5"/>
  <c r="A155" i="5"/>
  <c r="C24" i="6" s="1"/>
  <c r="B445" i="5"/>
  <c r="F455" i="5" s="1"/>
  <c r="H18" i="8"/>
  <c r="H19" i="8"/>
  <c r="H24" i="8"/>
  <c r="H23" i="8"/>
  <c r="H22" i="8"/>
  <c r="H20" i="8"/>
  <c r="H25" i="8"/>
  <c r="F32" i="10"/>
  <c r="A150" i="5"/>
  <c r="A149" i="5"/>
  <c r="A151" i="5"/>
  <c r="A164" i="5"/>
  <c r="A162" i="5"/>
  <c r="A156" i="5"/>
  <c r="C25" i="6" s="1"/>
  <c r="A163" i="5"/>
  <c r="B120" i="5"/>
  <c r="H47" i="8" s="1"/>
  <c r="C225" i="5"/>
  <c r="O47" i="10"/>
  <c r="P47" i="10" s="1"/>
  <c r="E330" i="5"/>
  <c r="C102" i="5" s="1"/>
  <c r="D330" i="5"/>
  <c r="B102" i="5" s="1"/>
  <c r="B330" i="5"/>
  <c r="C228" i="5"/>
  <c r="C227" i="5"/>
  <c r="H21" i="8"/>
  <c r="G259" i="5"/>
  <c r="J259" i="5"/>
  <c r="K258" i="5"/>
  <c r="L258" i="5" s="1"/>
  <c r="E26" i="6" l="1"/>
  <c r="J26" i="6" s="1"/>
  <c r="I137" i="6"/>
  <c r="I25" i="6"/>
  <c r="G25" i="6"/>
  <c r="G140" i="6"/>
  <c r="C27" i="6"/>
  <c r="C18" i="6"/>
  <c r="C16" i="6"/>
  <c r="C42" i="10"/>
  <c r="C17" i="6"/>
  <c r="F24" i="10"/>
  <c r="B50" i="10"/>
  <c r="B51" i="10" s="1"/>
  <c r="F454" i="5"/>
  <c r="F453" i="5"/>
  <c r="F452" i="5"/>
  <c r="G455" i="5"/>
  <c r="G453" i="5"/>
  <c r="G454" i="5"/>
  <c r="G452" i="5"/>
  <c r="F451" i="5"/>
  <c r="F450" i="5"/>
  <c r="H455" i="5"/>
  <c r="H453" i="5"/>
  <c r="H454" i="5"/>
  <c r="G451" i="5"/>
  <c r="G450" i="5"/>
  <c r="F449" i="5"/>
  <c r="F448" i="5"/>
  <c r="F447" i="5"/>
  <c r="C230" i="5"/>
  <c r="B231" i="5" s="1"/>
  <c r="I59" i="6"/>
  <c r="A102" i="5"/>
  <c r="B59" i="6"/>
  <c r="K259" i="5"/>
  <c r="L259" i="5" s="1"/>
  <c r="E51" i="6" l="1"/>
  <c r="G51" i="6" s="1"/>
  <c r="G26" i="6"/>
  <c r="E27" i="6"/>
  <c r="F21" i="10" s="1"/>
  <c r="I26" i="6"/>
  <c r="G50" i="6"/>
  <c r="B52" i="10"/>
  <c r="B53" i="10" s="1"/>
  <c r="B54" i="10" s="1"/>
  <c r="B55" i="10" s="1"/>
  <c r="A356" i="5"/>
  <c r="A315" i="5"/>
  <c r="H393" i="5"/>
  <c r="H391" i="5"/>
  <c r="H395" i="5"/>
  <c r="H392" i="5"/>
  <c r="H398" i="5"/>
  <c r="H397" i="5"/>
  <c r="H396" i="5"/>
  <c r="H394" i="5"/>
  <c r="K47" i="5"/>
  <c r="K49" i="5"/>
  <c r="K48" i="5"/>
  <c r="I51" i="6" l="1"/>
  <c r="G27" i="6"/>
  <c r="I27" i="6"/>
  <c r="J27" i="6"/>
  <c r="I50" i="6"/>
  <c r="K50" i="5"/>
  <c r="B213" i="5" s="1"/>
  <c r="C103" i="5"/>
  <c r="B103" i="5"/>
  <c r="B108" i="5"/>
  <c r="B107" i="5"/>
  <c r="A319" i="5"/>
  <c r="A324" i="5"/>
  <c r="A322" i="5"/>
  <c r="A325" i="5"/>
  <c r="A320" i="5"/>
  <c r="A317" i="5"/>
  <c r="A321" i="5"/>
  <c r="A318" i="5"/>
  <c r="A327" i="5"/>
  <c r="A323" i="5"/>
  <c r="A326" i="5"/>
  <c r="A328" i="5"/>
  <c r="B388" i="5"/>
  <c r="A359" i="5"/>
  <c r="A353" i="5"/>
  <c r="A358" i="5"/>
  <c r="A361" i="5"/>
  <c r="A357" i="5"/>
  <c r="A352" i="5"/>
  <c r="A354" i="5"/>
  <c r="A355" i="5"/>
  <c r="A360" i="5"/>
  <c r="E23" i="6" l="1"/>
  <c r="I23" i="6" s="1"/>
  <c r="G91" i="6"/>
  <c r="G90" i="6"/>
  <c r="M49" i="5"/>
  <c r="M48" i="5"/>
  <c r="M47" i="5"/>
  <c r="B348" i="5"/>
  <c r="B295" i="5"/>
  <c r="B294" i="5"/>
  <c r="B293" i="5"/>
  <c r="B292" i="5"/>
  <c r="B291" i="5"/>
  <c r="B297" i="5"/>
  <c r="B296" i="5"/>
  <c r="G311" i="5"/>
  <c r="C101" i="5" s="1"/>
  <c r="B311" i="5"/>
  <c r="F42" i="10" s="1"/>
  <c r="E311" i="5"/>
  <c r="B101" i="5" s="1"/>
  <c r="E31" i="6" l="1"/>
  <c r="B62" i="6"/>
  <c r="E62" i="6" s="1"/>
  <c r="I62" i="6" s="1"/>
  <c r="F31" i="10"/>
  <c r="J23" i="6"/>
  <c r="G23" i="6"/>
  <c r="E33" i="6"/>
  <c r="E32" i="6"/>
  <c r="A101" i="5"/>
  <c r="H388" i="5"/>
  <c r="E71" i="10"/>
  <c r="G62" i="6" l="1"/>
  <c r="G32" i="6"/>
  <c r="I32" i="6"/>
  <c r="I33" i="6"/>
  <c r="G33" i="6"/>
  <c r="I31" i="6"/>
  <c r="G31" i="6"/>
  <c r="H387" i="5"/>
  <c r="B387" i="5" l="1"/>
  <c r="G89" i="6" s="1"/>
  <c r="G143" i="6" s="1"/>
  <c r="B99" i="5"/>
  <c r="C99" i="5"/>
  <c r="B110" i="5"/>
  <c r="B109" i="5"/>
  <c r="D116" i="5" l="1"/>
  <c r="B116" i="5" s="1"/>
  <c r="H44" i="8" s="1"/>
  <c r="D117" i="5"/>
  <c r="B117" i="5" s="1"/>
  <c r="H45" i="8" s="1"/>
  <c r="C290" i="5"/>
  <c r="C291" i="5"/>
  <c r="C292" i="5"/>
  <c r="C296" i="5"/>
  <c r="C293" i="5"/>
  <c r="C297" i="5"/>
  <c r="C294" i="5"/>
  <c r="C295" i="5"/>
  <c r="I143" i="6"/>
  <c r="F128" i="5" l="1"/>
  <c r="C128" i="5"/>
  <c r="G297" i="5"/>
  <c r="D297" i="5"/>
  <c r="E297" i="5" s="1"/>
  <c r="G296" i="5"/>
  <c r="D296" i="5"/>
  <c r="E296" i="5" s="1"/>
  <c r="D290" i="5"/>
  <c r="E290" i="5" s="1"/>
  <c r="G290" i="5"/>
  <c r="G295" i="5"/>
  <c r="D295" i="5"/>
  <c r="E295" i="5" s="1"/>
  <c r="G293" i="5"/>
  <c r="D293" i="5"/>
  <c r="G292" i="5"/>
  <c r="D292" i="5"/>
  <c r="E292" i="5" s="1"/>
  <c r="G291" i="5"/>
  <c r="D291" i="5"/>
  <c r="E291" i="5" s="1"/>
  <c r="G294" i="5"/>
  <c r="D294" i="5"/>
  <c r="E294" i="5" s="1"/>
  <c r="F109" i="5" l="1"/>
  <c r="D115" i="5" s="1"/>
  <c r="B115" i="5" s="1"/>
  <c r="H43" i="8" s="1"/>
  <c r="F291" i="5"/>
  <c r="F292" i="5"/>
  <c r="F294" i="5"/>
  <c r="E293" i="5"/>
  <c r="F293" i="5" s="1"/>
  <c r="F290" i="5"/>
  <c r="F296" i="5"/>
  <c r="F295" i="5"/>
  <c r="F108" i="5" s="1"/>
  <c r="F297" i="5"/>
  <c r="F127" i="5" l="1"/>
  <c r="D126" i="5"/>
  <c r="C127" i="5"/>
  <c r="G126" i="5"/>
  <c r="D114" i="5"/>
  <c r="B114" i="5" s="1"/>
  <c r="H42" i="8" s="1"/>
  <c r="C148" i="5"/>
  <c r="A207" i="5"/>
  <c r="E206" i="5"/>
  <c r="D206" i="5" s="1"/>
  <c r="C167" i="5" s="1"/>
  <c r="B167" i="5" s="1"/>
  <c r="G127" i="5" l="1"/>
  <c r="D127" i="5"/>
  <c r="F126" i="5"/>
  <c r="C126" i="5"/>
  <c r="B148" i="5"/>
  <c r="C149" i="5"/>
  <c r="B206" i="5"/>
  <c r="B208" i="5" s="1"/>
  <c r="B170" i="5"/>
  <c r="B171" i="5"/>
  <c r="C27" i="10" l="1"/>
  <c r="C28" i="10" s="1"/>
  <c r="C14" i="6"/>
  <c r="E128" i="5"/>
  <c r="B128" i="5"/>
  <c r="C19" i="6"/>
  <c r="C21" i="10" s="1"/>
  <c r="E19" i="6"/>
  <c r="I19" i="6" s="1"/>
  <c r="D208" i="5"/>
  <c r="C208" i="5"/>
  <c r="C35" i="10" l="1"/>
  <c r="A209" i="5"/>
  <c r="B83" i="5" s="1"/>
  <c r="G19" i="6"/>
  <c r="J19" i="6"/>
  <c r="D55" i="10" l="1"/>
  <c r="E55" i="10" s="1"/>
  <c r="B91" i="5" l="1"/>
  <c r="C91" i="5" s="1"/>
  <c r="J91" i="5" s="1"/>
  <c r="N91" i="5" s="1"/>
  <c r="H34" i="8" s="1"/>
  <c r="B149" i="5" l="1"/>
  <c r="C150" i="5" l="1"/>
  <c r="B150" i="5" s="1"/>
  <c r="C151" i="5"/>
  <c r="B151" i="5" s="1"/>
  <c r="B162" i="5"/>
  <c r="E16" i="6"/>
  <c r="J16" i="6" s="1"/>
  <c r="E18" i="6" l="1"/>
  <c r="G18" i="6" s="1"/>
  <c r="E17" i="6"/>
  <c r="G17" i="6" s="1"/>
  <c r="I16" i="6"/>
  <c r="G16" i="6"/>
  <c r="B164" i="5"/>
  <c r="B163" i="5"/>
  <c r="G142" i="6" l="1"/>
  <c r="I17" i="6"/>
  <c r="J17" i="6"/>
  <c r="I18" i="6"/>
  <c r="J18" i="6"/>
  <c r="G144" i="6"/>
  <c r="G145" i="6" s="1"/>
  <c r="H142" i="6" l="1"/>
  <c r="H94" i="6"/>
  <c r="I142" i="6"/>
  <c r="H86" i="6"/>
  <c r="H112" i="6"/>
  <c r="H87" i="6"/>
  <c r="H141" i="6"/>
  <c r="H105" i="6"/>
  <c r="H82" i="6"/>
  <c r="H120" i="6"/>
  <c r="H124" i="6"/>
  <c r="H50" i="6"/>
  <c r="H118" i="6"/>
  <c r="H56" i="6"/>
  <c r="H39" i="6"/>
  <c r="H122" i="6"/>
  <c r="H68" i="6"/>
  <c r="H51" i="6"/>
  <c r="H42" i="6"/>
  <c r="H99" i="6"/>
  <c r="H34" i="6"/>
  <c r="H129" i="6"/>
  <c r="H126" i="6"/>
  <c r="H90" i="6"/>
  <c r="H26" i="6"/>
  <c r="H24" i="6"/>
  <c r="H114" i="6"/>
  <c r="H28" i="6"/>
  <c r="H60" i="6"/>
  <c r="H138" i="6"/>
  <c r="H85" i="6"/>
  <c r="H113" i="6"/>
  <c r="H79" i="6"/>
  <c r="H20" i="6"/>
  <c r="H100" i="6"/>
  <c r="H57" i="6"/>
  <c r="H89" i="6"/>
  <c r="H31" i="6"/>
  <c r="H92" i="6"/>
  <c r="H139" i="6"/>
  <c r="H64" i="6"/>
  <c r="H98" i="6"/>
  <c r="H143" i="6"/>
  <c r="H61" i="6"/>
  <c r="H47" i="6"/>
  <c r="H52" i="6"/>
  <c r="H83" i="6"/>
  <c r="H75" i="6"/>
  <c r="H15" i="6"/>
  <c r="H104" i="6"/>
  <c r="H74" i="6"/>
  <c r="H19" i="6"/>
  <c r="H25" i="6"/>
  <c r="H76" i="6"/>
  <c r="H123" i="6"/>
  <c r="H111" i="6"/>
  <c r="H133" i="6"/>
  <c r="I145" i="6"/>
  <c r="H11" i="6"/>
  <c r="H116" i="6"/>
  <c r="H14" i="6"/>
  <c r="H33" i="6"/>
  <c r="H130" i="6"/>
  <c r="H41" i="6"/>
  <c r="H96" i="6"/>
  <c r="H73" i="6"/>
  <c r="H66" i="6"/>
  <c r="H72" i="6"/>
  <c r="H59" i="6"/>
  <c r="H37" i="6"/>
  <c r="H121" i="6"/>
  <c r="H23" i="6"/>
  <c r="H67" i="6"/>
  <c r="H115" i="6"/>
  <c r="H35" i="6"/>
  <c r="H27" i="6"/>
  <c r="H135" i="6"/>
  <c r="H107" i="6"/>
  <c r="H32" i="6"/>
  <c r="H80" i="6"/>
  <c r="H78" i="6"/>
  <c r="H137" i="6"/>
  <c r="H48" i="6"/>
  <c r="H127" i="6"/>
  <c r="H93" i="6"/>
  <c r="H21" i="6"/>
  <c r="H102" i="6"/>
  <c r="H106" i="6"/>
  <c r="H108" i="6"/>
  <c r="H81" i="6"/>
  <c r="H40" i="6"/>
  <c r="H36" i="6"/>
  <c r="H46" i="6"/>
  <c r="H65" i="6"/>
  <c r="H58" i="6"/>
  <c r="H38" i="6"/>
  <c r="H117" i="6"/>
  <c r="H43" i="6"/>
  <c r="H45" i="6"/>
  <c r="H134" i="6"/>
  <c r="H119" i="6"/>
  <c r="H97" i="6"/>
  <c r="H70" i="6"/>
  <c r="H91" i="6"/>
  <c r="H88" i="6"/>
  <c r="H132" i="6"/>
  <c r="H140" i="6"/>
  <c r="H128" i="6"/>
  <c r="H145" i="6"/>
  <c r="H95" i="6"/>
  <c r="H109" i="6"/>
  <c r="H62" i="6"/>
  <c r="H84" i="6"/>
  <c r="H69" i="6"/>
  <c r="H110" i="6"/>
  <c r="H101" i="6"/>
  <c r="H44" i="6"/>
  <c r="H136" i="6"/>
  <c r="H71" i="6"/>
  <c r="H103" i="6"/>
  <c r="H131" i="6"/>
  <c r="H77" i="6"/>
  <c r="H125" i="6"/>
  <c r="H16" i="6"/>
  <c r="H17" i="6"/>
  <c r="H18" i="6"/>
  <c r="H144" i="6"/>
  <c r="I14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  <author>Eranga Anuradha Bala</author>
  </authors>
  <commentList>
    <comment ref="D8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VALUE(LEFT(P!C82,FIND(".",P!C82,1)-1))</t>
        </r>
      </text>
    </comment>
    <comment ref="D8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VALUE(LEFT(P!C83,FIND(".",P!C83,1)-1))</t>
        </r>
      </text>
    </comment>
    <comment ref="B8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=ROUNDUP(C79*100,2)</t>
        </r>
      </text>
    </comment>
    <comment ref="B8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=MROUND(D80*C80+2,5)</t>
        </r>
      </text>
    </comment>
    <comment ref="B8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=MROUND(D81*C81/B84+2,5)</t>
        </r>
      </text>
    </comment>
    <comment ref="C140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Eranga Anuradha Bala:</t>
        </r>
        <r>
          <rPr>
            <sz val="9"/>
            <color indexed="81"/>
            <rFont val="Tahoma"/>
            <family val="2"/>
          </rPr>
          <t xml:space="preserve">
=IF(AND(B47&lt;30000,B46&lt;=400),B134-2,IF(VALUE(B134)&lt;611,B134,MROUND(B134-3,5)))</t>
        </r>
      </text>
    </comment>
    <comment ref="G15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Double foil
0.15 DL x 2</t>
        </r>
      </text>
    </comment>
    <comment ref="G211" authorId="0" shapeId="0" xr:uid="{F479FD8C-2146-44FC-AAF6-5E5DC241938E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Axial Parallel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</authors>
  <commentList>
    <comment ref="L45" authorId="0" shapeId="0" xr:uid="{5F86CBA2-71E3-4A65-945C-1746056101FC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If different radiator is used, type it here.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</authors>
  <commentList>
    <comment ref="H42" authorId="0" shapeId="0" xr:uid="{3B88CEB0-A809-4B65-B548-A0100FEB5FE8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=Q!B114</t>
        </r>
      </text>
    </comment>
    <comment ref="H43" authorId="0" shapeId="0" xr:uid="{F608DC7E-9E80-45D9-B06B-21A206FE4444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=Q!B115</t>
        </r>
      </text>
    </comment>
    <comment ref="H44" authorId="0" shapeId="0" xr:uid="{C236D7AF-DCDD-4593-BBF5-72F38312AE33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=Q!B116</t>
        </r>
      </text>
    </comment>
    <comment ref="H45" authorId="0" shapeId="0" xr:uid="{A0BBFCC8-79DD-4352-81BD-76F5329E408D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=Q!B117</t>
        </r>
      </text>
    </comment>
    <comment ref="H46" authorId="0" shapeId="0" xr:uid="{57E8EB39-2059-4AAE-81E8-EDEA6E2C1AE2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=Q!B118</t>
        </r>
      </text>
    </comment>
    <comment ref="H47" authorId="0" shapeId="0" xr:uid="{C6091D04-0FAC-4831-9093-0557BA0F9C31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=Q!B120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RTVB" type="6" refreshedVersion="8" background="1" saveData="1">
    <textPr codePage="437" sourceFile="C:\Users\Lasindu\OneDrive - Lakdhanavi Limited\Tenders\Lumino Industries – Ethiopian\Designs\100\10033400-5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  <connection id="2" xr16:uid="{00000000-0015-0000-FFFF-FFFF01000000}" name="REPORTVB1" type="6" refreshedVersion="7" background="1" saveData="1">
    <textPr codePage="437" sourceFile="C:\Users\Lasindu\OneDrive - Lakdhanavi Limited\Tenders\Celex Maldives\Designs\500 11\500 11 400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  <connection id="3" xr16:uid="{00000000-0015-0000-FFFF-FFFF02000000}" name="REPORTVB2" type="6" refreshedVersion="8" background="1" saveData="1">
    <textPr codePage="437" sourceFile="C:\Users\Lasindu\OneDrive - Lakdhanavi Limited\Tenders\STI Holdings – Tanzania project\Designs\100kVA\10033400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<sst xmlns="http://schemas.openxmlformats.org/spreadsheetml/2006/main" count="1601" uniqueCount="1160">
  <si>
    <t>Steel (Total)</t>
  </si>
  <si>
    <t>Wooden Total</t>
  </si>
  <si>
    <t>------------------</t>
  </si>
  <si>
    <t>NONE STANDARD</t>
  </si>
  <si>
    <t>L O W   V O L T A</t>
  </si>
  <si>
    <t>G E   W I N D I N G</t>
  </si>
  <si>
    <t>-------------------</t>
  </si>
  <si>
    <t>Cond/Lead Weight..</t>
  </si>
  <si>
    <t>Lay/Trn/Duc Wts...</t>
  </si>
  <si>
    <t>0.000 mm</t>
  </si>
  <si>
    <t>Total Insul Weight</t>
  </si>
  <si>
    <t>Total Coil Weight.</t>
  </si>
  <si>
    <t>Resistance (Coil).</t>
  </si>
  <si>
    <t>Layer-Wound Coil</t>
  </si>
  <si>
    <t>Cond Mec/Elec Lgth</t>
  </si>
  <si>
    <t>CU-round</t>
  </si>
  <si>
    <t>Cond-Dim Per Turn.</t>
  </si>
  <si>
    <t>Cond Area Per Turn</t>
  </si>
  <si>
    <t>HV Conductor Wt...</t>
  </si>
  <si>
    <t>Layer-Layer Volts.</t>
  </si>
  <si>
    <t>Total HV-LV Offset</t>
  </si>
  <si>
    <t>Max LV Sup Span...</t>
  </si>
  <si>
    <t>Yoke-Case Top/Bot.</t>
  </si>
  <si>
    <t>Core Cost.........</t>
  </si>
  <si>
    <t>Turn/Lay/DD Insul.</t>
  </si>
  <si>
    <t>Mineral/Silicone..</t>
  </si>
  <si>
    <t>0 /        0</t>
  </si>
  <si>
    <t>Case Steel/Cooling</t>
  </si>
  <si>
    <t>C&amp;C Dim: Ht/Lgth..</t>
  </si>
  <si>
    <t>Case: Lt/Wd/Ht(mm)</t>
  </si>
  <si>
    <t>Labor &amp; VOH/Hours.</t>
  </si>
  <si>
    <t>Design Matl-Cost..</t>
  </si>
  <si>
    <t>Variable Cost.....</t>
  </si>
  <si>
    <t>RECOMMENDED PRICE.</t>
  </si>
  <si>
    <t>LV Bus Bar / Stray</t>
  </si>
  <si>
    <t>TOP OIL RISE......</t>
  </si>
  <si>
    <t>Core Steel</t>
  </si>
  <si>
    <t>LV Cu</t>
  </si>
  <si>
    <t>HV Cu</t>
  </si>
  <si>
    <t>Bill of Materials</t>
  </si>
  <si>
    <t>Material</t>
  </si>
  <si>
    <t>Description</t>
  </si>
  <si>
    <t>Unit</t>
  </si>
  <si>
    <t>Qty</t>
  </si>
  <si>
    <t>Total Quantity</t>
  </si>
  <si>
    <t>kg</t>
  </si>
  <si>
    <t>Nos.</t>
  </si>
  <si>
    <t>LV Edge Strip</t>
  </si>
  <si>
    <t>HV edge strip</t>
  </si>
  <si>
    <t>Design Engineer</t>
  </si>
  <si>
    <t>Date</t>
  </si>
  <si>
    <t>LV layer insulations thickness</t>
  </si>
  <si>
    <t>HV layer insulations thickness</t>
  </si>
  <si>
    <t>Flat Cu</t>
  </si>
  <si>
    <t>LV Leads</t>
  </si>
  <si>
    <t>Bus Bars</t>
  </si>
  <si>
    <t>Total</t>
  </si>
  <si>
    <t>LV edge strip</t>
  </si>
  <si>
    <t>Customer:</t>
  </si>
  <si>
    <t>LV</t>
  </si>
  <si>
    <t>Tap selector</t>
  </si>
  <si>
    <t>m</t>
  </si>
  <si>
    <t>Coil Length</t>
  </si>
  <si>
    <t>LV Bushings</t>
  </si>
  <si>
    <t>core steel type</t>
  </si>
  <si>
    <t>core steel thickness</t>
  </si>
  <si>
    <t>kVA</t>
  </si>
  <si>
    <t>HV VOLTS</t>
  </si>
  <si>
    <t>LV VOLTS</t>
  </si>
  <si>
    <t>No of radiators</t>
  </si>
  <si>
    <t>Elements/radiator</t>
  </si>
  <si>
    <t>Center to center distance</t>
  </si>
  <si>
    <t>Transformer Technical Specifications</t>
  </si>
  <si>
    <t>Customer</t>
  </si>
  <si>
    <t xml:space="preserve">Date: </t>
  </si>
  <si>
    <t>Basic Technical Features</t>
  </si>
  <si>
    <t>Customer Requirements</t>
  </si>
  <si>
    <t>Review by LTL</t>
  </si>
  <si>
    <t>1. Capacity</t>
  </si>
  <si>
    <t>2. No. of Units required</t>
  </si>
  <si>
    <t>3. Frequency</t>
  </si>
  <si>
    <t>Hz</t>
  </si>
  <si>
    <t>4. No. of Phases</t>
  </si>
  <si>
    <t>V</t>
  </si>
  <si>
    <t>8. Vector Symbol</t>
  </si>
  <si>
    <t>°C</t>
  </si>
  <si>
    <t>%</t>
  </si>
  <si>
    <t>W</t>
  </si>
  <si>
    <t>dB</t>
  </si>
  <si>
    <t>mm</t>
  </si>
  <si>
    <t>Designation</t>
  </si>
  <si>
    <t>Sig.</t>
  </si>
  <si>
    <t>Frequency</t>
  </si>
  <si>
    <t>Phases</t>
  </si>
  <si>
    <t>Tappings</t>
  </si>
  <si>
    <t>+</t>
  </si>
  <si>
    <t>-</t>
  </si>
  <si>
    <t>Steps</t>
  </si>
  <si>
    <t>TYPE</t>
  </si>
  <si>
    <t>Vector Group</t>
  </si>
  <si>
    <t>HV</t>
  </si>
  <si>
    <t>Temp. Rise             Windings</t>
  </si>
  <si>
    <t>Temp. Rise             Top oil</t>
  </si>
  <si>
    <t>% impedence</t>
  </si>
  <si>
    <t>Full Load Loss</t>
  </si>
  <si>
    <t>No Load Loss</t>
  </si>
  <si>
    <t>No load Current</t>
  </si>
  <si>
    <t>Sound level</t>
  </si>
  <si>
    <t>Depth of a radiator</t>
  </si>
  <si>
    <t>Fin depth-long side</t>
  </si>
  <si>
    <t>Fin depth-short side</t>
  </si>
  <si>
    <t>Case-Length</t>
  </si>
  <si>
    <t>Width</t>
  </si>
  <si>
    <t>Height</t>
  </si>
  <si>
    <t>Length</t>
  </si>
  <si>
    <t>ONAN</t>
  </si>
  <si>
    <t>%X</t>
  </si>
  <si>
    <t>%R</t>
  </si>
  <si>
    <t>EE</t>
  </si>
  <si>
    <t>1M (B9722)</t>
  </si>
  <si>
    <t>Oil Level Indicators</t>
  </si>
  <si>
    <t>Magnetic- with 400mm boss</t>
  </si>
  <si>
    <t>Magnetic- with 200mm boss</t>
  </si>
  <si>
    <t>Valves</t>
  </si>
  <si>
    <t>N</t>
  </si>
  <si>
    <t>Stay rod</t>
  </si>
  <si>
    <t>Base Skid</t>
  </si>
  <si>
    <t>Window height</t>
  </si>
  <si>
    <t>Flange Long side</t>
  </si>
  <si>
    <t>Flange Short side</t>
  </si>
  <si>
    <t>MAJOR MATERIALS</t>
  </si>
  <si>
    <t>ACCESSORIES</t>
  </si>
  <si>
    <t>Fin height</t>
  </si>
  <si>
    <t>Transformer Type:</t>
  </si>
  <si>
    <t>No of Transformers:</t>
  </si>
  <si>
    <t>Thickness</t>
  </si>
  <si>
    <t>Cover plate</t>
  </si>
  <si>
    <t>Base</t>
  </si>
  <si>
    <t>Tank</t>
  </si>
  <si>
    <t>Dimensions</t>
  </si>
  <si>
    <t>Nos</t>
  </si>
  <si>
    <t>L/L</t>
  </si>
  <si>
    <t>W/W</t>
  </si>
  <si>
    <t>L/W</t>
  </si>
  <si>
    <t>W/L</t>
  </si>
  <si>
    <t>MS Plate Arrangement-II</t>
  </si>
  <si>
    <t>MS Plate Arrangement-I</t>
  </si>
  <si>
    <t>Required Nos</t>
  </si>
  <si>
    <t>Nos of transformer</t>
  </si>
  <si>
    <t>Nos of Sheets</t>
  </si>
  <si>
    <t>Wooden clamp height</t>
  </si>
  <si>
    <t>Wooden cross cut height</t>
  </si>
  <si>
    <t>Center to center</t>
  </si>
  <si>
    <t>Tie Rod</t>
  </si>
  <si>
    <t>Foot</t>
  </si>
  <si>
    <t>Traverse-Horizontal</t>
  </si>
  <si>
    <t>Traverse-Vertical</t>
  </si>
  <si>
    <t>:</t>
  </si>
  <si>
    <t>Weight-TOTAL</t>
  </si>
  <si>
    <t>Height from yoke to cover</t>
  </si>
  <si>
    <t>.</t>
  </si>
  <si>
    <t>*100</t>
  </si>
  <si>
    <t>"(10)"</t>
  </si>
  <si>
    <t>Weight</t>
  </si>
  <si>
    <t>"k"</t>
  </si>
  <si>
    <t>Weight(kg)</t>
  </si>
  <si>
    <t>Builds(mm)</t>
  </si>
  <si>
    <t>"m"</t>
  </si>
  <si>
    <t>Core Type</t>
  </si>
  <si>
    <t>xxx</t>
  </si>
  <si>
    <t>Start</t>
  </si>
  <si>
    <t>Core</t>
  </si>
  <si>
    <t>Clearances</t>
  </si>
  <si>
    <t>Calculations</t>
  </si>
  <si>
    <t>Weights &amp; Dimensions</t>
  </si>
  <si>
    <t>Prices</t>
  </si>
  <si>
    <t>Performance data</t>
  </si>
  <si>
    <t>Factors</t>
  </si>
  <si>
    <t>Section</t>
  </si>
  <si>
    <t>Value</t>
  </si>
  <si>
    <t>Row No</t>
  </si>
  <si>
    <t>Column No</t>
  </si>
  <si>
    <t>Core Loss Factor</t>
  </si>
  <si>
    <t>COOLING</t>
  </si>
  <si>
    <t>Case-Width</t>
  </si>
  <si>
    <t>Case-Height</t>
  </si>
  <si>
    <t>CASE</t>
  </si>
  <si>
    <t>HEIGHTS</t>
  </si>
  <si>
    <t>Conservator</t>
  </si>
  <si>
    <t>CABLE BOX</t>
  </si>
  <si>
    <t>No of intakes /Phase (LV)</t>
  </si>
  <si>
    <t>Width of radiator flange</t>
  </si>
  <si>
    <t>Radiator width</t>
  </si>
  <si>
    <t>Distance bet 2 radiators</t>
  </si>
  <si>
    <t>Offset for off-central type</t>
  </si>
  <si>
    <t>Steel Channel</t>
  </si>
  <si>
    <t>Cover</t>
  </si>
  <si>
    <t>Case + Cooling</t>
  </si>
  <si>
    <t>Panel Type Radiators</t>
  </si>
  <si>
    <t>Fin Type Radiators</t>
  </si>
  <si>
    <t>Clamps</t>
  </si>
  <si>
    <t>Steel Weights</t>
  </si>
  <si>
    <t>Radiator Weights</t>
  </si>
  <si>
    <t>Duct Space</t>
  </si>
  <si>
    <t>Corragated Board</t>
  </si>
  <si>
    <t>PRV T-10K1 1R"</t>
  </si>
  <si>
    <t>PRV T-50 0.4 BAR</t>
  </si>
  <si>
    <t>AIR RELEASE PLUG</t>
  </si>
  <si>
    <t>THROTTLE VALVE FOR RADIATOR NW80 FORMB</t>
  </si>
  <si>
    <t>8 HOLES PRISMATIC</t>
  </si>
  <si>
    <t>Painting</t>
  </si>
  <si>
    <t>GALVANIZING</t>
  </si>
  <si>
    <t>PRIMER PAINT &amp; THINNER</t>
  </si>
  <si>
    <t>Cable Boxes</t>
  </si>
  <si>
    <t>Other Parts</t>
  </si>
  <si>
    <t>RATING PLATE</t>
  </si>
  <si>
    <t>ISD UNIT</t>
  </si>
  <si>
    <t>BREATHER 2KG</t>
  </si>
  <si>
    <t>BUCHOLZ RELAY EW712</t>
  </si>
  <si>
    <t>CONSERVATOR FILLING CAP AL. 2"</t>
  </si>
  <si>
    <t>T/F WHEEL 7613T00691</t>
  </si>
  <si>
    <t>HV voltage (kV)</t>
  </si>
  <si>
    <t>HV coil current</t>
  </si>
  <si>
    <t>HV line current</t>
  </si>
  <si>
    <t>CU-foil</t>
  </si>
  <si>
    <t>Conservator Type</t>
  </si>
  <si>
    <t>Hermetically Sealed</t>
  </si>
  <si>
    <t>Fin Radiator</t>
  </si>
  <si>
    <t>Panel type</t>
  </si>
  <si>
    <t>WINDING DATA</t>
  </si>
  <si>
    <t>INSULATION</t>
  </si>
  <si>
    <t>CORE STEEL</t>
  </si>
  <si>
    <t>COPPER</t>
  </si>
  <si>
    <t>STEEL</t>
  </si>
  <si>
    <t>ELECTRICAL DATA</t>
  </si>
  <si>
    <t>DIMENSIONS</t>
  </si>
  <si>
    <t>MARGINS</t>
  </si>
  <si>
    <t>Core Loss</t>
  </si>
  <si>
    <t>Cu Loss</t>
  </si>
  <si>
    <t>No Load Current</t>
  </si>
  <si>
    <t>Total Weight</t>
  </si>
  <si>
    <t>Oil</t>
  </si>
  <si>
    <t>Copper Foil</t>
  </si>
  <si>
    <t>Round Copper</t>
  </si>
  <si>
    <t>Rectangular Copper</t>
  </si>
  <si>
    <t>Copper Bus Bar</t>
  </si>
  <si>
    <t>Fin Radiators</t>
  </si>
  <si>
    <t>Core steel</t>
  </si>
  <si>
    <t>DDP-Double Layer</t>
  </si>
  <si>
    <t>Corrugator Boards- 9.0x2.0 mm</t>
  </si>
  <si>
    <t>Material Name in MM</t>
  </si>
  <si>
    <t>Margin (%)</t>
  </si>
  <si>
    <t>Unit Price</t>
  </si>
  <si>
    <t>HV Bushings</t>
  </si>
  <si>
    <t>Cost</t>
  </si>
  <si>
    <t>CU-layer-rect</t>
  </si>
  <si>
    <t>CU-rectangular</t>
  </si>
  <si>
    <t>$</t>
  </si>
  <si>
    <t>Major Material</t>
  </si>
  <si>
    <t>Accessories</t>
  </si>
  <si>
    <t>Miscellaneous</t>
  </si>
  <si>
    <t>Total Materials</t>
  </si>
  <si>
    <t>* * *</t>
  </si>
  <si>
    <t>LV Coil current</t>
  </si>
  <si>
    <t>LV line current</t>
  </si>
  <si>
    <t>LV Coil current density</t>
  </si>
  <si>
    <t>Factor k x sqrt(2)</t>
  </si>
  <si>
    <t>AL-foil</t>
  </si>
  <si>
    <t>-------- BASIS FOR</t>
  </si>
  <si>
    <t>0.15 DDP</t>
  </si>
  <si>
    <t>0.25 DDP</t>
  </si>
  <si>
    <t>DESIGN</t>
  </si>
  <si>
    <t>Design</t>
  </si>
  <si>
    <t>Time</t>
  </si>
  <si>
    <t>Container Arrangement</t>
  </si>
  <si>
    <t>40'</t>
  </si>
  <si>
    <t>20'</t>
  </si>
  <si>
    <t>Length/Length</t>
  </si>
  <si>
    <t>Length/Width</t>
  </si>
  <si>
    <t>THERMOMETER POCKET</t>
  </si>
  <si>
    <t>PHASE MARKING PLATES</t>
  </si>
  <si>
    <t>MS Sheet -Length</t>
  </si>
  <si>
    <t>MS Sheet -Width</t>
  </si>
  <si>
    <t>TOTAL</t>
  </si>
  <si>
    <t>Fin Thickness</t>
  </si>
  <si>
    <t>Panel Radiators</t>
  </si>
  <si>
    <t>CSA</t>
  </si>
  <si>
    <t>50x50x6 AI</t>
  </si>
  <si>
    <t>76x38x6 MS Channel</t>
  </si>
  <si>
    <t>100x50x6 MS Channel</t>
  </si>
  <si>
    <t>152x152x10 H Iron</t>
  </si>
  <si>
    <t>WEIGHT</t>
  </si>
  <si>
    <t>Steel Density (kg/mm3)</t>
  </si>
  <si>
    <t>Case</t>
  </si>
  <si>
    <t>Calculated</t>
  </si>
  <si>
    <t>Basic Insulation Level</t>
  </si>
  <si>
    <t>4 HOLES PRISMATIC</t>
  </si>
  <si>
    <t>FLOATING TYPE</t>
  </si>
  <si>
    <t>BALL VALVE 1" Threaded on both sides</t>
  </si>
  <si>
    <t>Cover+Base+Flange</t>
  </si>
  <si>
    <t>0.15 DDP-Single Layer</t>
  </si>
  <si>
    <t>0.25 DDP-Single Layer</t>
  </si>
  <si>
    <t>LV Strip</t>
  </si>
  <si>
    <t>HV Strip</t>
  </si>
  <si>
    <t>Galvanizing</t>
  </si>
  <si>
    <t>Primer Paint &amp; Thinner</t>
  </si>
  <si>
    <t>Powder Paint</t>
  </si>
  <si>
    <t>Labour Hours</t>
  </si>
  <si>
    <t>% Z</t>
  </si>
  <si>
    <t>% Z-pu</t>
  </si>
  <si>
    <t>FL loss</t>
  </si>
  <si>
    <t>NL loss</t>
  </si>
  <si>
    <t>PU load</t>
  </si>
  <si>
    <t>PF</t>
  </si>
  <si>
    <t>X</t>
  </si>
  <si>
    <t>sin X</t>
  </si>
  <si>
    <t>%FE</t>
  </si>
  <si>
    <t>%Eff</t>
  </si>
  <si>
    <t>%Reg</t>
  </si>
  <si>
    <t>LTL TRANSFORMERS (PVT) LTD                                                  FRM/CI/02</t>
  </si>
  <si>
    <t>HV CABLE BOX</t>
  </si>
  <si>
    <t>LV CABLE BOX</t>
  </si>
  <si>
    <t>GALVANIZED CUP FOR THERMOMETER POCKET</t>
  </si>
  <si>
    <t>IEC60076:2011</t>
  </si>
  <si>
    <t>CORE DETAIL</t>
  </si>
  <si>
    <t>WT. (Kg)</t>
  </si>
  <si>
    <t>WINDING TYPE</t>
  </si>
  <si>
    <t>VOLTS (L/PH) V</t>
  </si>
  <si>
    <t>CURRENT (L/PH) A</t>
  </si>
  <si>
    <t>CONNECTION</t>
  </si>
  <si>
    <t>TEST (PF / IMP.) kV</t>
  </si>
  <si>
    <t>TURNS</t>
  </si>
  <si>
    <t>LAYERS</t>
  </si>
  <si>
    <t>TURNS / LAYER</t>
  </si>
  <si>
    <t>COOLING DUCT</t>
  </si>
  <si>
    <t>COND. SIZE BARE (mm)</t>
  </si>
  <si>
    <t>COND SIZE COVD. (mm)</t>
  </si>
  <si>
    <r>
      <t>COND. AREA (mm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)</t>
    </r>
  </si>
  <si>
    <r>
      <t>AMPS / mm</t>
    </r>
    <r>
      <rPr>
        <vertAlign val="superscript"/>
        <sz val="8"/>
        <rFont val="Times New Roman"/>
        <family val="1"/>
      </rPr>
      <t>2</t>
    </r>
  </si>
  <si>
    <t>LEAD SIZE (mm)</t>
  </si>
  <si>
    <t>RADIALS (mm)</t>
  </si>
  <si>
    <t>ELEC./WDG. LGTH. (mm)</t>
  </si>
  <si>
    <t>EQ. MEAN DIAM. (mm)</t>
  </si>
  <si>
    <t>MEAN TURN (m)</t>
  </si>
  <si>
    <t>WEIGHT TOTAL (Kg)</t>
  </si>
  <si>
    <t>RESIST / PH (Ohm)</t>
  </si>
  <si>
    <t>BUSHING</t>
  </si>
  <si>
    <r>
      <t xml:space="preserve">CLEARANCES </t>
    </r>
    <r>
      <rPr>
        <sz val="8"/>
        <rFont val="Times New Roman"/>
        <family val="1"/>
      </rPr>
      <t xml:space="preserve"> </t>
    </r>
  </si>
  <si>
    <t>LV/HV :</t>
  </si>
  <si>
    <t>TAP</t>
  </si>
  <si>
    <t>LOSSES</t>
  </si>
  <si>
    <t>CALCULATED</t>
  </si>
  <si>
    <t>GUARANTEED</t>
  </si>
  <si>
    <t xml:space="preserve"> WEIGHTS (Kg)</t>
  </si>
  <si>
    <t>CU LOSS               (W)</t>
  </si>
  <si>
    <t>TOTAL CU</t>
  </si>
  <si>
    <t>FE LOSS               (W)</t>
  </si>
  <si>
    <t>CORE</t>
  </si>
  <si>
    <t>TOTAL LOSS       (W)</t>
  </si>
  <si>
    <t>CORE AND WDGS</t>
  </si>
  <si>
    <t>REACTANCE       (%)</t>
  </si>
  <si>
    <t>IMPEDANCE       (%)</t>
  </si>
  <si>
    <t>OIL WEIGHT</t>
  </si>
  <si>
    <t>NO LOAD CURRENT (%)</t>
  </si>
  <si>
    <t>T. RISE OIL         (°C)</t>
  </si>
  <si>
    <t>TOTAL WEIGHT</t>
  </si>
  <si>
    <t>T. RISE WDG.     (°C)</t>
  </si>
  <si>
    <t>RATING DETAILS</t>
  </si>
  <si>
    <t>VECTOR</t>
  </si>
  <si>
    <t>PHASE</t>
  </si>
  <si>
    <t>TAPPINGS ON HV</t>
  </si>
  <si>
    <t>ABOVE NOMINAL :</t>
  </si>
  <si>
    <t>BELOW NOMINAL :</t>
  </si>
  <si>
    <t>DESIGN DATA OUTPUT SHEET</t>
  </si>
  <si>
    <t>Revision:02/01-07-2009</t>
  </si>
  <si>
    <t>DATE :</t>
  </si>
  <si>
    <t>DESIGN: Data Set 1</t>
  </si>
  <si>
    <t>o</t>
  </si>
  <si>
    <t>1</t>
  </si>
  <si>
    <t>Total Losses(ONAN)</t>
  </si>
  <si>
    <t>Project:</t>
  </si>
  <si>
    <t>Contract/Quotation No.</t>
  </si>
  <si>
    <t>Remarks</t>
  </si>
  <si>
    <t>Y</t>
  </si>
  <si>
    <t>Hermetically sealed</t>
  </si>
  <si>
    <t>Galvanize</t>
  </si>
  <si>
    <t>Powder</t>
  </si>
  <si>
    <t>Marine paint</t>
  </si>
  <si>
    <t>Designed by:</t>
  </si>
  <si>
    <t>Approved by:</t>
  </si>
  <si>
    <t>Revision No.: 03/01-12-2015</t>
  </si>
  <si>
    <t>70 / 200</t>
  </si>
  <si>
    <t>70 / 170</t>
  </si>
  <si>
    <t>3 / -</t>
  </si>
  <si>
    <t>28 / 75</t>
  </si>
  <si>
    <t>X/R</t>
  </si>
  <si>
    <t>EXPANSION OIL VOLUME</t>
  </si>
  <si>
    <t>20 / 60</t>
  </si>
  <si>
    <t>33 kV</t>
  </si>
  <si>
    <t>11 kV</t>
  </si>
  <si>
    <t>7.2 kV</t>
  </si>
  <si>
    <r>
      <t xml:space="preserve"> STANDARD : </t>
    </r>
    <r>
      <rPr>
        <sz val="8"/>
        <rFont val="Times New Roman"/>
        <family val="1"/>
      </rPr>
      <t>IEC 60076:2011</t>
    </r>
  </si>
  <si>
    <t>HD Copper - 3 mm dia paper covered</t>
  </si>
  <si>
    <t>7/1.7 bare copper</t>
  </si>
  <si>
    <t>19/1.35 bare copper</t>
  </si>
  <si>
    <t>Includes in ISD</t>
  </si>
  <si>
    <t>Design No:</t>
  </si>
  <si>
    <t>L</t>
  </si>
  <si>
    <t>W1</t>
  </si>
  <si>
    <t>40 NF 250</t>
  </si>
  <si>
    <t>CAPACITY (kVA)</t>
  </si>
  <si>
    <t>Noinal</t>
  </si>
  <si>
    <t>No. of tap pos</t>
  </si>
  <si>
    <t>Deviation</t>
  </si>
  <si>
    <t>HEIGHT OF RADIATOR :</t>
  </si>
  <si>
    <t>TYPE OF RADIATOR :</t>
  </si>
  <si>
    <t xml:space="preserve">WIDTH (mm) : </t>
  </si>
  <si>
    <t xml:space="preserve">DESIGNED </t>
  </si>
  <si>
    <t>AUTHORIZED</t>
  </si>
  <si>
    <t xml:space="preserve">CONTRACT NO :  </t>
  </si>
  <si>
    <t xml:space="preserve">DESIGN NO </t>
  </si>
  <si>
    <t xml:space="preserve">CUSTOMER </t>
  </si>
  <si>
    <t>CENTERED</t>
  </si>
  <si>
    <t>OFF CENTERED</t>
  </si>
  <si>
    <t>CONTINUOUS   : Y</t>
  </si>
  <si>
    <t>TANK INSIDE</t>
  </si>
  <si>
    <t>IQUID TYPE TRANSFOR</t>
  </si>
  <si>
    <t>MER CALCULATION (Ver</t>
  </si>
  <si>
    <t>CUSTOMER NAME</t>
  </si>
  <si>
    <t>Type      ONAN Cooli</t>
  </si>
  <si>
    <t>--------------------</t>
  </si>
  <si>
    <t>----- S T A C K E D</t>
  </si>
  <si>
    <t>C O R E --------</t>
  </si>
  <si>
    <t>Core Design.......:</t>
  </si>
  <si>
    <t>Diagonal Dimension:</t>
  </si>
  <si>
    <t>Grade/Frame Type..:</t>
  </si>
  <si>
    <t>Window Height.....:</t>
  </si>
  <si>
    <t>INDUCTION.........:</t>
  </si>
  <si>
    <t>Center to Center..:</t>
  </si>
  <si>
    <t>Gross/Net CSA.....:</t>
  </si>
  <si>
    <t>100 % Exc Current.:</t>
  </si>
  <si>
    <t>Weight of Core-Leg:</t>
  </si>
  <si>
    <t>Sound/Natural Freq:</t>
  </si>
  <si>
    <t>Weight of Yoke....:</t>
  </si>
  <si>
    <t>Peak HV Inrush Cur:</t>
  </si>
  <si>
    <t>Core Net Weight...:</t>
  </si>
  <si>
    <t>Utilization Factor:</t>
  </si>
  <si>
    <t>Core Scrap Weight.:</t>
  </si>
  <si>
    <t>Standard Core No..:</t>
  </si>
  <si>
    <t>Core Gross Weight.:</t>
  </si>
  <si>
    <t>Type of Coil......:</t>
  </si>
  <si>
    <t>Coil-Length.......:</t>
  </si>
  <si>
    <t>TURNS PER COIL....:</t>
  </si>
  <si>
    <t>Inside Dimensions.:</t>
  </si>
  <si>
    <t>CURRENT DENSITY...:</t>
  </si>
  <si>
    <t>Outside Dimensions:</t>
  </si>
  <si>
    <t>Rad Blds (H,Leg,L):</t>
  </si>
  <si>
    <t>Eff No Cool Ducts.:</t>
  </si>
  <si>
    <t>Axial Allowance...:</t>
  </si>
  <si>
    <t>Short-Circuit Curr:</t>
  </si>
  <si>
    <t>Num Support Sticks:</t>
  </si>
  <si>
    <t>12</t>
  </si>
  <si>
    <t>Mean Turn Length..:</t>
  </si>
  <si>
    <t>Lead:    Wd / Tk..:</t>
  </si>
  <si>
    <t>Max Turn Lth Buckl:</t>
  </si>
  <si>
    <t>Bus Bar: Wd / Tk..:</t>
  </si>
  <si>
    <t># Lay: Max/Min tpl:</t>
  </si>
  <si>
    <t>Layer/Turn Ins Bd.:</t>
  </si>
  <si>
    <t>T-RISE/GRADIENT...:</t>
  </si>
  <si>
    <t>Watts/sq m .......:</t>
  </si>
  <si>
    <t>I G H   V O L T A</t>
  </si>
  <si>
    <t>Conductor.........:</t>
  </si>
  <si>
    <t>Turns Tot./Nominal:</t>
  </si>
  <si>
    <t>Add Rad Allowance.:</t>
  </si>
  <si>
    <t># Sup Pts/Ax All..:</t>
  </si>
  <si>
    <t>Axial Sections....:</t>
  </si>
  <si>
    <t>L E C T R I C A L</t>
  </si>
  <si>
    <t>C L E A R A N C E</t>
  </si>
  <si>
    <t>LV to Core Leg(mm):</t>
  </si>
  <si>
    <t>LV Cond to Yoke...:</t>
  </si>
  <si>
    <t>Eff Hi-Lo ElecSpan:</t>
  </si>
  <si>
    <t>Ph-Ph Elec Spacing:</t>
  </si>
  <si>
    <t>HV-HSide/HV-LSide.:</t>
  </si>
  <si>
    <t>HV-Ends...........:</t>
  </si>
  <si>
    <t>HV Fixed Gap......:</t>
  </si>
  <si>
    <t>CALCULATIONS -------</t>
  </si>
  <si>
    <t>-- MATERIAL  PRICES</t>
  </si>
  <si>
    <t>Netw.Short Cir.Cap:</t>
  </si>
  <si>
    <t>E Rnd Wire: AL/CU.:</t>
  </si>
  <si>
    <t>Wdg Rise Limit....:</t>
  </si>
  <si>
    <t>Rect Wire : Al/Cu.:</t>
  </si>
  <si>
    <t>Top Oil Rise Limit:</t>
  </si>
  <si>
    <t>Foil Cond: AL/CU..:</t>
  </si>
  <si>
    <t>LME/1000 (CU/AL)..:</t>
  </si>
  <si>
    <t>WEIGHTS, DIMENSIONS</t>
  </si>
  <si>
    <t>Active Part Weight:</t>
  </si>
  <si>
    <t>Clamp &amp; Brace Wt..:</t>
  </si>
  <si>
    <t>H-L Barrier Weight:</t>
  </si>
  <si>
    <t>Mineral Oil Weight:</t>
  </si>
  <si>
    <t>Bus bar/TC Weight.:</t>
  </si>
  <si>
    <t>Total Weight......:</t>
  </si>
  <si>
    <t>------PRICE &amp; COST</t>
  </si>
  <si>
    <t>IN USD UNITS -------</t>
  </si>
  <si>
    <t>Core Cost.........:</t>
  </si>
  <si>
    <t>HV / LV Coil Cost.:</t>
  </si>
  <si>
    <t>Case/Cooling Cost.:</t>
  </si>
  <si>
    <t>Bracing Cost......:</t>
  </si>
  <si>
    <t>Mineral Oil.......:</t>
  </si>
  <si>
    <t>Assy and Misc.....:</t>
  </si>
  <si>
    <t>EVALUATED LOSSES..:</t>
  </si>
  <si>
    <t>EVALUATED COST....:</t>
  </si>
  <si>
    <t>---------- PERFORMA</t>
  </si>
  <si>
    <t>NCE DATA -----------</t>
  </si>
  <si>
    <t>HV Watts (% Eddy).:</t>
  </si>
  <si>
    <t>LV Watts (% Eddy).:</t>
  </si>
  <si>
    <t>No Load Losses....:</t>
  </si>
  <si>
    <t>Tot-Ld Watts(%Ed).:</t>
  </si>
  <si>
    <t>% X / % R / % Lead:</t>
  </si>
  <si>
    <t>% Z (HV-LV-Lead)..:</t>
  </si>
  <si>
    <t>% Z Guaranteed....:</t>
  </si>
  <si>
    <t>TES:  HV Axial &amp; Ra</t>
  </si>
  <si>
    <t>d Factors -  1.000,</t>
  </si>
  <si>
    <t>MARG/MULT.: &lt;</t>
  </si>
  <si>
    <t>Rise&gt;: Top Oil=  0 H</t>
  </si>
  <si>
    <t>0 L=  0 T=  0 &lt;Loss</t>
  </si>
  <si>
    <t>CORE: Std(NO</t>
  </si>
  <si>
    <t>) Wds(YES) C-C(NO )</t>
  </si>
  <si>
    <t>g(NO ),  COND: Foil</t>
  </si>
  <si>
    <t>Line/Coil Amps:</t>
  </si>
  <si>
    <t>--------- Width --</t>
  </si>
  <si>
    <t>Build ----- Weight -</t>
  </si>
  <si>
    <t>: (Min Evaluated C</t>
  </si>
  <si>
    <t>st )</t>
  </si>
  <si>
    <t>1.0 Eddy H=   1.0</t>
  </si>
  <si>
    <t>O ),  CASE: Std(NO</t>
  </si>
  <si>
    <t>)  CALC: Sh Cir(YES)</t>
  </si>
  <si>
    <t>=   1.0 Stray=   1.0</t>
  </si>
  <si>
    <t>FLEXIBLE SIZE (mm)</t>
  </si>
  <si>
    <t>CU LEAD / BUSBAR</t>
  </si>
  <si>
    <t>* Using Standard Da</t>
  </si>
  <si>
    <t>USD/KG (17-08-01</t>
  </si>
  <si>
    <t>)</t>
  </si>
  <si>
    <t>WTI BOX</t>
  </si>
  <si>
    <t>CT 3000/2A Oil Immersed (Measuring) Ring Type 15VA/0.5</t>
  </si>
  <si>
    <t>THERMOWELL 3/4" BSP</t>
  </si>
  <si>
    <t>LV INSULATION</t>
  </si>
  <si>
    <t>HV INSULATION</t>
  </si>
  <si>
    <t>WEIGHT OF RADIATOR</t>
  </si>
  <si>
    <t>&gt;: Core= 1.000 BusB=</t>
  </si>
  <si>
    <t>Oil Level Indicator</t>
  </si>
  <si>
    <t>HD Copper</t>
  </si>
  <si>
    <t>Bare Copper</t>
  </si>
  <si>
    <t>3 mm</t>
  </si>
  <si>
    <t>7/1.7 mm</t>
  </si>
  <si>
    <t>Step 6:    0.000,</t>
  </si>
  <si>
    <t>0.000 mm     0.0 kg</t>
  </si>
  <si>
    <t>Step 7:    0.000,</t>
  </si>
  <si>
    <t>Step 8:    0.000,</t>
  </si>
  <si>
    <t>Step 9:    0.000,</t>
  </si>
  <si>
    <t>EDGE STRIP (mm)</t>
  </si>
  <si>
    <t>LV INNER TUBE</t>
  </si>
  <si>
    <t>STICK BARRIER :</t>
  </si>
  <si>
    <t>ISD / HV Enclosure 36kV 250A Interface B Plug-in Type Bushings / LV DT3150 Cable Box (6 runs per phase &amp; neutral)</t>
  </si>
  <si>
    <t>2.18 /  3.28 / 4.1</t>
  </si>
  <si>
    <t>HV Strip Insulation</t>
  </si>
  <si>
    <t>EN 2000</t>
  </si>
  <si>
    <t>EN 250</t>
  </si>
  <si>
    <t>EN 630</t>
  </si>
  <si>
    <t>10 NF 630</t>
  </si>
  <si>
    <t>DDP Single Layer</t>
  </si>
  <si>
    <t>DDP Double Layer</t>
  </si>
  <si>
    <t>EN 3150</t>
  </si>
  <si>
    <t>Plug-in Type 36 kV 630 A Interface C</t>
  </si>
  <si>
    <t>Approximately</t>
  </si>
  <si>
    <t>ISD (includes protection for oil level, oil temp.,pressure &amp; gas )</t>
  </si>
  <si>
    <t>Tapping Weight</t>
  </si>
  <si>
    <t xml:space="preserve">6. Tappings                                                                        </t>
  </si>
  <si>
    <t>Max. ambient temp.</t>
  </si>
  <si>
    <t>Monthly average temp.</t>
  </si>
  <si>
    <t>Yearly average temp.</t>
  </si>
  <si>
    <t xml:space="preserve">                                  </t>
  </si>
  <si>
    <t>Top Oil</t>
  </si>
  <si>
    <t>Windings</t>
  </si>
  <si>
    <t>VPT, W/kg, PBase..:</t>
  </si>
  <si>
    <t>Cooling Ducts Tk/#:</t>
  </si>
  <si>
    <t>Conductor Dims....</t>
  </si>
  <si>
    <t>Insulation Weight.</t>
  </si>
  <si>
    <t>LayIns Tk.........:</t>
  </si>
  <si>
    <t>LayIns RB W/OvBld.:</t>
  </si>
  <si>
    <t>Average LayIns Tk.</t>
  </si>
  <si>
    <t>Circuit Load</t>
  </si>
  <si>
    <t>Factors:  HV= 1.000,</t>
  </si>
  <si>
    <t>LV= 1.000,   TV= 1.</t>
  </si>
  <si>
    <t>000</t>
  </si>
  <si>
    <t>Using LTL Cor</t>
  </si>
  <si>
    <t>e Loss Calculation T</t>
  </si>
  <si>
    <t>Using LTL Loa</t>
  </si>
  <si>
    <t>d Loss Calculation T</t>
  </si>
  <si>
    <t>Adjusted Build</t>
  </si>
  <si>
    <t>1000/33/415 EU</t>
  </si>
  <si>
    <t>1000/33/415 EU Tank</t>
  </si>
  <si>
    <t>1000/33/400 EU</t>
  </si>
  <si>
    <t>1250/33/415 EU Tank</t>
  </si>
  <si>
    <t>1000/33/800 EU</t>
  </si>
  <si>
    <t>1250/33/415 EU</t>
  </si>
  <si>
    <t>1250/33/400 EU</t>
  </si>
  <si>
    <t>1250/33/400 EU Tank</t>
  </si>
  <si>
    <t>1250/33/800 EU</t>
  </si>
  <si>
    <t>1600/33/415 EU</t>
  </si>
  <si>
    <t>1600/33/400 EU Tank</t>
  </si>
  <si>
    <t>1600/33/400 EU</t>
  </si>
  <si>
    <t>EN 1250</t>
  </si>
  <si>
    <t>10 NF 250</t>
  </si>
  <si>
    <t>CONNECTOR BOX</t>
  </si>
  <si>
    <t>19/1.35 mm</t>
  </si>
  <si>
    <t>LV Winding</t>
  </si>
  <si>
    <t>LV Insulation Packet</t>
  </si>
  <si>
    <t>HV Winding</t>
  </si>
  <si>
    <t>HV Edge Strip</t>
  </si>
  <si>
    <t>HV Insulation Packet</t>
  </si>
  <si>
    <t>6 HOLES PRISMATIC</t>
  </si>
  <si>
    <t>BREATHER 1KG TYPE A</t>
  </si>
  <si>
    <t>BREATHER 1KG TYPE B</t>
  </si>
  <si>
    <t>BREATHER 1KG TYPE C</t>
  </si>
  <si>
    <t>THERMOMETER TEK 16</t>
  </si>
  <si>
    <t>WINDING TEMP. INDICATOR TD76 (354 01 12X6.0)</t>
  </si>
  <si>
    <t>Per Winding Quantity</t>
  </si>
  <si>
    <t>ARES DIN25 DOUBLE FLANGE GATE VALVE</t>
  </si>
  <si>
    <t>SINGLE FLANGE BALL VALVE 1" NW25S-SS</t>
  </si>
  <si>
    <t>BALL VALVE 1" PELGER</t>
  </si>
  <si>
    <t>HV strip insulations thickness</t>
  </si>
  <si>
    <t>1.00</t>
  </si>
  <si>
    <t>1.1</t>
  </si>
  <si>
    <t>1.2</t>
  </si>
  <si>
    <t>1.3</t>
  </si>
  <si>
    <t>1.4</t>
  </si>
  <si>
    <t>1.5</t>
  </si>
  <si>
    <t>Strip Insulation</t>
  </si>
  <si>
    <t>Removable</t>
  </si>
  <si>
    <t>Edge Strips</t>
  </si>
  <si>
    <t>From Program</t>
  </si>
  <si>
    <t>Contract No.:</t>
  </si>
  <si>
    <t>Capacity</t>
  </si>
  <si>
    <t>Tapping</t>
  </si>
  <si>
    <t>Barrier DDP</t>
  </si>
  <si>
    <t>Tap Wire</t>
  </si>
  <si>
    <t>Ph density</t>
  </si>
  <si>
    <t>Line Density</t>
  </si>
  <si>
    <t>Area</t>
  </si>
  <si>
    <t>Choise</t>
  </si>
  <si>
    <t>Plug-in Type 36 kV 250 A Interface B</t>
  </si>
  <si>
    <t>Plug-in Type 24 kV 250 A Interface B</t>
  </si>
  <si>
    <t>Plug-in Type 24 kV 630 A Interface C</t>
  </si>
  <si>
    <t>Plug-in Type 52 kV 1000 A Interface F</t>
  </si>
  <si>
    <t>Cover Plate Thickness</t>
  </si>
  <si>
    <t>Base Thickness</t>
  </si>
  <si>
    <t>cons</t>
  </si>
  <si>
    <t>400 upto including</t>
  </si>
  <si>
    <t>1000 upto inc</t>
  </si>
  <si>
    <t>&gt;2500</t>
  </si>
  <si>
    <t>250x75x9 MS Channel</t>
  </si>
  <si>
    <t>Plug-In Cable Box</t>
  </si>
  <si>
    <t>1M Cable Box</t>
  </si>
  <si>
    <t>Price</t>
  </si>
  <si>
    <t>HV Cable Boxes</t>
  </si>
  <si>
    <t>LV Cable Boxes</t>
  </si>
  <si>
    <t>EN 1250 x 2</t>
  </si>
  <si>
    <t>EN 2000 x 2</t>
  </si>
  <si>
    <t>EN 3150 x 2</t>
  </si>
  <si>
    <t>WTI Box</t>
  </si>
  <si>
    <t>Connector Box</t>
  </si>
  <si>
    <t>HV Enclosure</t>
  </si>
  <si>
    <t>Selection</t>
  </si>
  <si>
    <t>H above cover</t>
  </si>
  <si>
    <t>HV ENCLOSURE</t>
  </si>
  <si>
    <t>VIAT SO4 - Dial Type with Contacts</t>
  </si>
  <si>
    <t>VIAT SO6 - Dial Type with Contacts</t>
  </si>
  <si>
    <t>Special Requirements</t>
  </si>
  <si>
    <t>RTD WTI (PT100)</t>
  </si>
  <si>
    <t>RTD OTI (PT100)</t>
  </si>
  <si>
    <t>CT TERMINAL BOX (2 TERMINALS)</t>
  </si>
  <si>
    <t>CT TERMINAL BOX (4 TERMINALS)</t>
  </si>
  <si>
    <t>CT TERMINAL BOX (6 TERMINALS)</t>
  </si>
  <si>
    <t>24kV ELBOW CONNECTOR SET (03)</t>
  </si>
  <si>
    <t>36kV ELBOW CONNECTOR SET (03)</t>
  </si>
  <si>
    <t>52kV ELBOW CONNECTOR SET (04)</t>
  </si>
  <si>
    <t>Tank Steel, Trava, Foot &amp; Clamps</t>
  </si>
  <si>
    <t>Sets.</t>
  </si>
  <si>
    <t>Primer (kg)</t>
  </si>
  <si>
    <t>Powder (kg)</t>
  </si>
  <si>
    <t>2 Coat Sys - DFT 130</t>
  </si>
  <si>
    <t>3 Coat Sys - DFT 250</t>
  </si>
  <si>
    <t>30 NF 250 CD = 900 mm</t>
  </si>
  <si>
    <t>30 NF 250 CD = 1116 mm</t>
  </si>
  <si>
    <t>30 NF 250 CD = 1920 mm</t>
  </si>
  <si>
    <t>52 NF 1000 CD = 1430 mm</t>
  </si>
  <si>
    <t>10 NF 250 CD = 305 mm</t>
  </si>
  <si>
    <t>24 NF 250 P3 CD = 605 mm</t>
  </si>
  <si>
    <t>HR 7A3.235 (20kV 30A 100mm 7 Pos)</t>
  </si>
  <si>
    <t>HR 7A3.235 (20kV 30A 100mm 5 Pos)</t>
  </si>
  <si>
    <t>HM 25.43.885 (20kV 63A 131mm 5 Pos)</t>
  </si>
  <si>
    <t>HR 7A3.335 (30kV 30A 100mm 5 Pos)</t>
  </si>
  <si>
    <t>HM 23.44.885 (30kV 30A 131mm 5 Pos)</t>
  </si>
  <si>
    <t>HM 25.44.885 (30kV 63A 131mm 5 Pos)</t>
  </si>
  <si>
    <t>HM 28.43.885 (20kV 120A 131mm 5 Pos)</t>
  </si>
  <si>
    <t>HR 7A3.335 (30kV 30A 100mm 7 Pos)</t>
  </si>
  <si>
    <t>HM 23.44.885 (30kV 30A 131mm 7 Pos)</t>
  </si>
  <si>
    <t>Positions</t>
  </si>
  <si>
    <t>Voltage (kV)</t>
  </si>
  <si>
    <t>Current (A)</t>
  </si>
  <si>
    <t>BIL (kV)</t>
  </si>
  <si>
    <t>Height (mm)</t>
  </si>
  <si>
    <t>Weight (kg)</t>
  </si>
  <si>
    <t>Tank Wall Thickness</t>
  </si>
  <si>
    <t>1600/33/800 EU</t>
  </si>
  <si>
    <t>2000/33/415 EU</t>
  </si>
  <si>
    <t>2000/33/400 EU Tank</t>
  </si>
  <si>
    <t>2000/33/400 EU</t>
  </si>
  <si>
    <t>2000/33/800 EU</t>
  </si>
  <si>
    <t>2500/33/415 EU</t>
  </si>
  <si>
    <t>2500/33/400 EU Tank</t>
  </si>
  <si>
    <t>2500/33/400 EU</t>
  </si>
  <si>
    <t>2500/33/800 EU</t>
  </si>
  <si>
    <t>3150/33/415 EU</t>
  </si>
  <si>
    <t>3150/33/415 EU Tank</t>
  </si>
  <si>
    <t>3150/33/400 EU</t>
  </si>
  <si>
    <t>3150/33/800 EU</t>
  </si>
  <si>
    <t>General Choice</t>
  </si>
  <si>
    <t>Custom Choice</t>
  </si>
  <si>
    <t>HM 28.43.885 (20kV 250A 131mm 5 Pos)</t>
  </si>
  <si>
    <t>SAMPLING VALVE</t>
  </si>
  <si>
    <t>GATE VALVE WITH SAMPLING</t>
  </si>
  <si>
    <t>GATE VALVE WITHOUT SAMPLING</t>
  </si>
  <si>
    <t>OBO SURGE ARRESTERS</t>
  </si>
  <si>
    <t>SDF</t>
  </si>
  <si>
    <t>20A 3KL81113HA10</t>
  </si>
  <si>
    <t>32A 3KL81213HA10</t>
  </si>
  <si>
    <t>63A 3KL81513HA10</t>
  </si>
  <si>
    <t>100A 3KL82113HA10</t>
  </si>
  <si>
    <t>125A 3KL82213HA10</t>
  </si>
  <si>
    <t>160A 3KL82313HA10</t>
  </si>
  <si>
    <t>200A 3KL83113HA10</t>
  </si>
  <si>
    <t>250A 3KL83213HA10</t>
  </si>
  <si>
    <t>315A 3KL83313HA10</t>
  </si>
  <si>
    <t>400A 3KL83413HA10</t>
  </si>
  <si>
    <t>500A 3KL84113HA10</t>
  </si>
  <si>
    <t>630A 3KL84213HA10</t>
  </si>
  <si>
    <t>800A 3KL84313HA10</t>
  </si>
  <si>
    <t>Current</t>
  </si>
  <si>
    <t>HRC Fuse</t>
  </si>
  <si>
    <t>0 /   0</t>
  </si>
  <si>
    <t>Height for base skid and cover</t>
  </si>
  <si>
    <t>LTL TRANSFORMERS (PVT.) LTD.                                                                                                                                                                                               FRM/DE/01</t>
  </si>
  <si>
    <t>ISD</t>
  </si>
  <si>
    <t>LV Box Depth</t>
  </si>
  <si>
    <t>LV Box Width</t>
  </si>
  <si>
    <t>HV Box Depth</t>
  </si>
  <si>
    <t>HV Box Width</t>
  </si>
  <si>
    <t>WTI Box Depth</t>
  </si>
  <si>
    <t>Depth</t>
  </si>
  <si>
    <t>LV Box</t>
  </si>
  <si>
    <t>HV Box</t>
  </si>
  <si>
    <t>WEIGHTS</t>
  </si>
  <si>
    <t>Tolerance</t>
  </si>
  <si>
    <t>Conservator Length</t>
  </si>
  <si>
    <t>Cons. Side</t>
  </si>
  <si>
    <t>Other Side</t>
  </si>
  <si>
    <t>Panel Add. to Length</t>
  </si>
  <si>
    <t>Panel Add. to Width</t>
  </si>
  <si>
    <t>Length Addition</t>
  </si>
  <si>
    <t>Width Addition</t>
  </si>
  <si>
    <t>PANEL TYPE RADS</t>
  </si>
  <si>
    <t>Weight-OIL</t>
  </si>
  <si>
    <t>Weight-ACTIVE PART</t>
  </si>
  <si>
    <t>Weight-Untanking</t>
  </si>
  <si>
    <t>Closest capacity</t>
  </si>
  <si>
    <t>LV CU</t>
  </si>
  <si>
    <t>HV CU</t>
  </si>
  <si>
    <t>ph (kg)</t>
  </si>
  <si>
    <t>line (kg)</t>
  </si>
  <si>
    <t>NUMBER OF ELEMENTS PER RADIATOR :</t>
  </si>
  <si>
    <t>NUMBER OF RADIATORS :</t>
  </si>
  <si>
    <t>CENTER LENGTH OF THE RADIATOR (mm) :</t>
  </si>
  <si>
    <t>Cooling Ducts</t>
  </si>
  <si>
    <t>LV No. of Cooling Ducts</t>
  </si>
  <si>
    <t>LV MTL</t>
  </si>
  <si>
    <t>LV No. of Layers</t>
  </si>
  <si>
    <t>LV Cooling duct height</t>
  </si>
  <si>
    <t>HV No. of Cooling Ducts</t>
  </si>
  <si>
    <t>HV MTL</t>
  </si>
  <si>
    <t>HV No. of Layers</t>
  </si>
  <si>
    <t>HV Cooling duct height</t>
  </si>
  <si>
    <t>ree Phase     50 Hz</t>
  </si>
  <si>
    <t>50 %  TC: Off-load T</t>
  </si>
  <si>
    <t>Changer</t>
  </si>
  <si>
    <t>Max No Load/Load..:</t>
  </si>
  <si>
    <t>, AND COOLING (RIBS)</t>
  </si>
  <si>
    <t>Rib Height:1,2,3,4</t>
  </si>
  <si>
    <t>Rib Pitch: 1,2,3,4:</t>
  </si>
  <si>
    <t>No of Ribs:1,2,3,4</t>
  </si>
  <si>
    <t>Cov/Case &amp; Cooling:</t>
  </si>
  <si>
    <t>Rib Depth: 1,2,3,4:</t>
  </si>
  <si>
    <t>Rib Pan Wd:1,2,3,4</t>
  </si>
  <si>
    <t>Rib Thick: 1,2,3,4:</t>
  </si>
  <si>
    <t>CT 5000/5A Oil Immersed (Measuring) Ring Type 15VA/0.5</t>
  </si>
  <si>
    <t>10. Power Frequency Withstand Voltage (Primary / Secondary)</t>
  </si>
  <si>
    <t>9. Lightning Impulse Withstand Voltage (Primary / Secondary)</t>
  </si>
  <si>
    <t>kV</t>
  </si>
  <si>
    <t>200 / -</t>
  </si>
  <si>
    <t>75 / -</t>
  </si>
  <si>
    <t>95 / -</t>
  </si>
  <si>
    <t>60 / -</t>
  </si>
  <si>
    <t>70 / 3</t>
  </si>
  <si>
    <t>28 / 3</t>
  </si>
  <si>
    <t>20 / 3</t>
  </si>
  <si>
    <t>170 / -</t>
  </si>
  <si>
    <t>Custom Choise</t>
  </si>
  <si>
    <t>Assembly</t>
  </si>
  <si>
    <t>Timber Packet</t>
  </si>
  <si>
    <t>Copper Flexible</t>
  </si>
  <si>
    <t>Turn CSA .........:</t>
  </si>
  <si>
    <t>HV Wdg DC Losses..:</t>
  </si>
  <si>
    <t>LV Wdg DC Losses..:</t>
  </si>
  <si>
    <t>Tapping Turns</t>
  </si>
  <si>
    <t>1000/33/690 EU</t>
  </si>
  <si>
    <t>1250/33/690 EU</t>
  </si>
  <si>
    <t>1600/33/690 EU</t>
  </si>
  <si>
    <t>2000/33/690 EU</t>
  </si>
  <si>
    <t>2500/33/690 EU</t>
  </si>
  <si>
    <t>3150/33/690 EU</t>
  </si>
  <si>
    <t>CT 1600/1A 5P20 15VA/0.5 2 Core</t>
  </si>
  <si>
    <t>NCT 1600/1A 5P20 15VA</t>
  </si>
  <si>
    <t>NCT 2000/1A 5P20 15VA</t>
  </si>
  <si>
    <t>NCT 400/1A 5P20 15VA</t>
  </si>
  <si>
    <t>Standard Size</t>
  </si>
  <si>
    <t>Insulation Packet</t>
  </si>
  <si>
    <t>HV Cable Lugs</t>
  </si>
  <si>
    <t>LTL Name Board</t>
  </si>
  <si>
    <t>Nut, Bolt &amp; 2 Washers (Galvanized) M10 x 40 mm</t>
  </si>
  <si>
    <t>Split washers for tank cover fixing</t>
  </si>
  <si>
    <t>M12 bolt, nut, spring washer &amp; lock washer for earthing terminal</t>
  </si>
  <si>
    <t>Flange Gasket</t>
  </si>
  <si>
    <t>Wooden Pallete For Packing</t>
  </si>
  <si>
    <t>INTERNAL PAINT</t>
  </si>
  <si>
    <t>Inhibited Mineral Oil</t>
  </si>
  <si>
    <t>Pole Mounting Bracket</t>
  </si>
  <si>
    <t>Impedance Mod</t>
  </si>
  <si>
    <t>el: Convensional</t>
  </si>
  <si>
    <t>IEC Tolerances Applicable</t>
  </si>
  <si>
    <t>LV Cable Lugs</t>
  </si>
  <si>
    <t>RAL6028</t>
  </si>
  <si>
    <t>Dark Green</t>
  </si>
  <si>
    <t>Bi- Directional Rollers</t>
  </si>
  <si>
    <t>Winding Temperature Indicator</t>
  </si>
  <si>
    <t>Reviewed by:</t>
  </si>
  <si>
    <t>BIL:   3  (Wye</t>
  </si>
  <si>
    <t>Ovality Factor....:</t>
  </si>
  <si>
    <t>Use Max Steel Wi</t>
  </si>
  <si>
    <t>dth (Steps minus 1)</t>
  </si>
  <si>
    <t>Using Std</t>
  </si>
  <si>
    <t>S</t>
  </si>
  <si>
    <t>teel Widths</t>
  </si>
  <si>
    <t>Core Perimeter....:</t>
  </si>
  <si>
    <t>Delta Build.......:</t>
  </si>
  <si>
    <t>Inner Perimeter...:</t>
  </si>
  <si>
    <t>Ribs-Press/Weight.:</t>
  </si>
  <si>
    <t>1.20/1.20/1.20/1.20</t>
  </si>
  <si>
    <t>nical Standard: &lt; N</t>
  </si>
  <si>
    <t>O  &gt;</t>
  </si>
  <si>
    <t>11. Conductor Material (Primary / Secondary)</t>
  </si>
  <si>
    <t>12. Temp. Rise</t>
  </si>
  <si>
    <t>13. Efficiency at 100% load (P.F = 0.8)</t>
  </si>
  <si>
    <t>14. Voltage regulation at 100% load (P.F = 0.8)</t>
  </si>
  <si>
    <t>15. No Load current</t>
  </si>
  <si>
    <t>16. Method of cooling</t>
  </si>
  <si>
    <t>17. No load loss</t>
  </si>
  <si>
    <t>18. Load loss</t>
  </si>
  <si>
    <t>19. Impedance voltage</t>
  </si>
  <si>
    <t>20. Sound level</t>
  </si>
  <si>
    <t xml:space="preserve">21. Dimensions </t>
  </si>
  <si>
    <t>22.Total Weight</t>
  </si>
  <si>
    <t>23.Oil Weight</t>
  </si>
  <si>
    <t>24.Un-tanking Weight</t>
  </si>
  <si>
    <t>25. Availabilty of Cable box in Primary side, Y/N</t>
  </si>
  <si>
    <t>26. Availabilty of Cable box in Secondary side, Y/N</t>
  </si>
  <si>
    <t>27. Hermetically sealed/Conservator</t>
  </si>
  <si>
    <t>28. Painting Method, Galvanize/Marine paint/Powder</t>
  </si>
  <si>
    <t>29. Unit Colour</t>
  </si>
  <si>
    <t>30.  Service conditions</t>
  </si>
  <si>
    <t>31. Altitude (Maximum)</t>
  </si>
  <si>
    <t>32. Standard</t>
  </si>
  <si>
    <t>33. Protection Available</t>
  </si>
  <si>
    <t>55.0 deg C</t>
  </si>
  <si>
    <t>HV Conductor</t>
  </si>
  <si>
    <t>LV Conductor</t>
  </si>
  <si>
    <t>n 6.10.0)</t>
  </si>
  <si>
    <t>Standard Copper EU2021 Radiators</t>
  </si>
  <si>
    <t>Standard Aluminium EU2021 Radiators</t>
  </si>
  <si>
    <t>1000/33/440 EU</t>
  </si>
  <si>
    <t>1250/33/440 EU</t>
  </si>
  <si>
    <t>1600/33/440 EU</t>
  </si>
  <si>
    <t>2000/33/440 EU</t>
  </si>
  <si>
    <t>2500/33/440 EU</t>
  </si>
  <si>
    <t>3150/33/440 EU</t>
  </si>
  <si>
    <t>1000/33/415 EU AL</t>
  </si>
  <si>
    <t>1000/33/400 EU AL</t>
  </si>
  <si>
    <t>1000/33/440 EU AL</t>
  </si>
  <si>
    <t>1000/33/690 EU AL</t>
  </si>
  <si>
    <t>1000/33/800 EU AL</t>
  </si>
  <si>
    <t>1250/33/415 EU AL</t>
  </si>
  <si>
    <t>1250/33/400 EU AL</t>
  </si>
  <si>
    <t>1250/33/440 EU AL</t>
  </si>
  <si>
    <t>1250/33/690 EU AL</t>
  </si>
  <si>
    <t>1250/33/800 EU AL</t>
  </si>
  <si>
    <t>1600/33/415 EU AL</t>
  </si>
  <si>
    <t>1600/33/400 EU AL</t>
  </si>
  <si>
    <t>1600/33/440 EU AL</t>
  </si>
  <si>
    <t>1600/33/690 EU AL</t>
  </si>
  <si>
    <t>1600/33/800 EU AL</t>
  </si>
  <si>
    <t>2000/33/415 EU AL</t>
  </si>
  <si>
    <t>2000/33/400 EU AL</t>
  </si>
  <si>
    <t>2000/33/440 EU AL</t>
  </si>
  <si>
    <t>2000/33/690 EU AL</t>
  </si>
  <si>
    <t>2000/33/800 EU AL</t>
  </si>
  <si>
    <t>2500/33/415 EU AL</t>
  </si>
  <si>
    <t>2500/33/400 EU AL</t>
  </si>
  <si>
    <t>2500/33/440 EU AL</t>
  </si>
  <si>
    <t>2500/33/690 EU AL</t>
  </si>
  <si>
    <t>2500/33/800 EU AL</t>
  </si>
  <si>
    <t>3150/33/415 EU AL</t>
  </si>
  <si>
    <t>3150/33/400 EU AL</t>
  </si>
  <si>
    <t>3150/33/440 EU AL</t>
  </si>
  <si>
    <t>3150/33/690 EU AL</t>
  </si>
  <si>
    <t>3150/33/800 EU AL</t>
  </si>
  <si>
    <t>1250/33/400 EU AL Tank</t>
  </si>
  <si>
    <t>2000/33/400 EU AL Tank</t>
  </si>
  <si>
    <t>2500/33/400 EU AL Tank</t>
  </si>
  <si>
    <t>3150/33/400 EU AL Tank</t>
  </si>
  <si>
    <t>CU-Round</t>
  </si>
  <si>
    <t>Flat Copper</t>
  </si>
  <si>
    <t>S/A MOUNTING BRACKET A-2</t>
  </si>
  <si>
    <t>100/33/415 EU CU</t>
  </si>
  <si>
    <t>100/11/415 EU CU</t>
  </si>
  <si>
    <t>160/33/415 EU CU</t>
  </si>
  <si>
    <t>250/33/415 EU CU</t>
  </si>
  <si>
    <t>400/33/415 EU CU</t>
  </si>
  <si>
    <t>630/33/415 EU CU</t>
  </si>
  <si>
    <t>800/33/415 EU CU</t>
  </si>
  <si>
    <t>1000/33/415 EU CU</t>
  </si>
  <si>
    <t>160/11/415 EU CU</t>
  </si>
  <si>
    <t>250/11/415 EU CU</t>
  </si>
  <si>
    <t>400/11/415 EU CU</t>
  </si>
  <si>
    <t>630/11/415 EU CU</t>
  </si>
  <si>
    <t>800/11/415 EU CU</t>
  </si>
  <si>
    <t>1000/11/415 EU CU</t>
  </si>
  <si>
    <t>250/11/415 EU CU Tank</t>
  </si>
  <si>
    <t>400/11/415 EU CU Tank</t>
  </si>
  <si>
    <t>630/11/415 EU CU Tank</t>
  </si>
  <si>
    <t>800/11/415 EU CU Tank</t>
  </si>
  <si>
    <t>1000/11/415 EU CU Tank</t>
  </si>
  <si>
    <t>160/33/415 EU CU Tank</t>
  </si>
  <si>
    <t>250/33/415 EU CU Tank</t>
  </si>
  <si>
    <t>400/33/415 EU CU Tank</t>
  </si>
  <si>
    <t>630/33/415 EU CU Tank</t>
  </si>
  <si>
    <t>800/33/415 EU CU Tank</t>
  </si>
  <si>
    <t>1000/33/415 EU CU Tank</t>
  </si>
  <si>
    <t>100/11/415 EU CU Tank</t>
  </si>
  <si>
    <t>160/11/415 EU CU Tank</t>
  </si>
  <si>
    <t>Standard CEB Cu EU2021 Radiators</t>
  </si>
  <si>
    <t>Cu / Cu</t>
  </si>
  <si>
    <r>
      <t xml:space="preserve">SPECIAL ACCESSORIES: </t>
    </r>
    <r>
      <rPr>
        <sz val="8"/>
        <rFont val="Times New Roman"/>
        <family val="1"/>
      </rPr>
      <t>SAMB A-2</t>
    </r>
  </si>
  <si>
    <r>
      <t>I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R + DIR STRAY (W)</t>
    </r>
  </si>
  <si>
    <t>REVIEWED</t>
  </si>
  <si>
    <t>0.075 x 45 Strip</t>
  </si>
  <si>
    <t>2/3 Cooling Duct Between Layers 11 &amp; 12 (668 x 294 mm x 2)</t>
  </si>
  <si>
    <t>181 x 264 / 230 x 337</t>
  </si>
  <si>
    <t>Start Thickness 0.375 mm &amp; End Thickness 1.65 mm</t>
  </si>
  <si>
    <t>Full Cooling Duct Between Layers 6 &amp; 7 (668 x 1249 mm)</t>
  </si>
  <si>
    <t>266 x 373 / 356 x 473</t>
  </si>
  <si>
    <t>18 mm (668 mm x 1098 mm)</t>
  </si>
  <si>
    <t>1 mm PB (668 mm x 794 mm)</t>
  </si>
  <si>
    <t>I.D/O.D (mm) (without tolerance)</t>
  </si>
  <si>
    <t>5. Primary Voltage</t>
  </si>
  <si>
    <t>7. Secondary Voltage (No Load)</t>
  </si>
  <si>
    <t>Copper Assembly</t>
  </si>
  <si>
    <t>Assembly Packets (Core+Tanking+Dispatch)</t>
  </si>
  <si>
    <t>:   400</t>
  </si>
  <si>
    <t>Specified Size</t>
  </si>
  <si>
    <t>OIL TEMP. INDICATOR TD50 (354 01 12X6.0)</t>
  </si>
  <si>
    <t>23ZDKH / 3-Leg</t>
  </si>
  <si>
    <t>C5</t>
  </si>
  <si>
    <t>500 11 400</t>
  </si>
  <si>
    <t>Pressure Release Device (With Contacts)</t>
  </si>
  <si>
    <r>
      <t xml:space="preserve">34. Remarks : </t>
    </r>
    <r>
      <rPr>
        <sz val="12"/>
        <rFont val="Times New Roman"/>
        <family val="1"/>
      </rPr>
      <t>K Factor is selected as 1</t>
    </r>
  </si>
  <si>
    <t>CT Terminal Box</t>
  </si>
  <si>
    <t>Surge Arresters</t>
  </si>
  <si>
    <t>ta File Name: D:\Tr</t>
  </si>
  <si>
    <t>ial Program\ReportVB</t>
  </si>
  <si>
    <t>t</t>
  </si>
  <si>
    <t>: 33000 + 2- 2x 2.</t>
  </si>
  <si>
    <t>BIL: 170 (Delt</t>
  </si>
  <si>
    <t>Step 4:   70.000,</t>
  </si>
  <si>
    <t>Step 5:    0.000,</t>
  </si>
  <si>
    <t>12 /  0.000 mm</t>
  </si>
  <si>
    <t>21.000 mm</t>
  </si>
  <si>
    <t>1000.0  MVA</t>
  </si>
  <si>
    <t>Tk(NO ),  CLEAR: Wd</t>
  </si>
  <si>
    <t xml:space="preserve">STI Holdings – Tanzania project </t>
  </si>
  <si>
    <t>ta from Files;   Usi</t>
  </si>
  <si>
    <t>New LTL Core Loss C</t>
  </si>
  <si>
    <t>alculations ***</t>
  </si>
  <si>
    <t>A -    100  Liquid</t>
  </si>
  <si>
    <t>Style Number:</t>
  </si>
  <si>
    <t>1.750/   1.010</t>
  </si>
  <si>
    <t>144.338/ 144.338</t>
  </si>
  <si>
    <t>OVAL-IY  Mitered</t>
  </si>
  <si>
    <t>CU-Foil</t>
  </si>
  <si>
    <t>ELECT LENGTH......</t>
  </si>
  <si>
    <t>Strip-#x#x Wd x Tk</t>
  </si>
  <si>
    <t>4.500 mm / 0.33</t>
  </si>
  <si>
    <t>HV: 0 Leg: 0 LV: 1</t>
  </si>
  <si>
    <t>Layer Insul Tk....:</t>
  </si>
  <si>
    <t>0.180 mm</t>
  </si>
  <si>
    <t>1x1x 0.700 x 0.700</t>
  </si>
  <si>
    <t>0.38485 mm2</t>
  </si>
  <si>
    <t>2.625 A/mm2</t>
  </si>
  <si>
    <t>1.50x  1.50x  7.00</t>
  </si>
  <si>
    <t>23.500 mm</t>
  </si>
  <si>
    <t>46.000 mm</t>
  </si>
  <si>
    <t>600/ 600/ 600/ 600</t>
  </si>
  <si>
    <t>1/     0 kg</t>
  </si>
  <si>
    <t>nical Standard: &lt; Y</t>
  </si>
  <si>
    <t>ES &gt;</t>
  </si>
  <si>
    <t>TE: 2022.09.15</t>
  </si>
  <si>
    <t>Time: 08:16:38</t>
  </si>
  <si>
    <t>DER : 10033OVL</t>
  </si>
  <si>
    <t>ENGINEER: LASINDU</t>
  </si>
  <si>
    <t>EU</t>
  </si>
  <si>
    <t>60 C Rise     Th</t>
  </si>
  <si>
    <t>130.000 x 202.490 mm</t>
  </si>
  <si>
    <t>Step 1:  130.000,</t>
  </si>
  <si>
    <t>72.490 mm   156.8 kg</t>
  </si>
  <si>
    <t>232.000 mm</t>
  </si>
  <si>
    <t>Step 2:  120.000,</t>
  </si>
  <si>
    <t>50.370 mm    99.2 kg</t>
  </si>
  <si>
    <t>1.450 Tesla</t>
  </si>
  <si>
    <t>293.182 mm</t>
  </si>
  <si>
    <t>Step 3:  100.000,</t>
  </si>
  <si>
    <t>32.890 mm    52.5 kg</t>
  </si>
  <si>
    <t>6.415, 0.704, 0.53</t>
  </si>
  <si>
    <t>206.1 / 199.3 cm2</t>
  </si>
  <si>
    <t>26.450 mm    29.6 kg</t>
  </si>
  <si>
    <t>0.8241</t>
  </si>
  <si>
    <t>152.1 kg</t>
  </si>
  <si>
    <t>44.9 db /  1978 Hz</t>
  </si>
  <si>
    <t>169.6 kg</t>
  </si>
  <si>
    <t>13 amp</t>
  </si>
  <si>
    <t>321.7 kg</t>
  </si>
  <si>
    <t>0.9080</t>
  </si>
  <si>
    <t>16.4 kg</t>
  </si>
  <si>
    <t>338.1 kg</t>
  </si>
  <si>
    <t>1.402</t>
  </si>
  <si>
    <t>553.4 mm</t>
  </si>
  <si>
    <t>72.5 mm</t>
  </si>
  <si>
    <t>205.000 mm</t>
  </si>
  <si>
    <t>185.000  mm</t>
  </si>
  <si>
    <t>1 x   36.0</t>
  </si>
  <si>
    <t>133.000 x205.490 mm</t>
  </si>
  <si>
    <t>1x1x 185.00 x 0.240</t>
  </si>
  <si>
    <t>3.251 A/mm2</t>
  </si>
  <si>
    <t>163.490 x240.480 mm</t>
  </si>
  <si>
    <t>26.09 /   1.77 kg</t>
  </si>
  <si>
    <t>562.8 mm</t>
  </si>
  <si>
    <t>15.24/ 15.24/ 19.74</t>
  </si>
  <si>
    <t>2.94/  0.00/  0.07</t>
  </si>
  <si>
    <t>3.01 kg</t>
  </si>
  <si>
    <t>6159 Amp.</t>
  </si>
  <si>
    <t>607.171 mm</t>
  </si>
  <si>
    <t>25.000 /  3.000 mm</t>
  </si>
  <si>
    <t>30.87 kg</t>
  </si>
  <si>
    <t>1510.784 mm</t>
  </si>
  <si>
    <t>47.6/22.2 deg C</t>
  </si>
  <si>
    <t>975.256</t>
  </si>
  <si>
    <t>0.010324 @ 75 C</t>
  </si>
  <si>
    <t>44.400 mm2</t>
  </si>
  <si>
    <t>139.000 /  138.225</t>
  </si>
  <si>
    <t>193.490 x 270.480</t>
  </si>
  <si>
    <t>5401/   5144</t>
  </si>
  <si>
    <t>272.182 x 349.172</t>
  </si>
  <si>
    <t>4.500 mm /  1.00</t>
  </si>
  <si>
    <t>39.35/ 39.35/ 39.35</t>
  </si>
  <si>
    <t>48.97 kg</t>
  </si>
  <si>
    <t>HV: 1 Leg: 1 LV: 1</t>
  </si>
  <si>
    <t>7.82/  0.00/  0.32</t>
  </si>
  <si>
    <t>876.5 mm</t>
  </si>
  <si>
    <t>0.400/  0.075 mm</t>
  </si>
  <si>
    <t>8.13 kg</t>
  </si>
  <si>
    <t>(29 Full)  0.400 mm</t>
  </si>
  <si>
    <t>8.45 mm</t>
  </si>
  <si>
    <t>(Strip) 0.265 mm</t>
  </si>
  <si>
    <t>57.10 kg</t>
  </si>
  <si>
    <t>31# 178.00/ 61.00 *</t>
  </si>
  <si>
    <t>2288.3</t>
  </si>
  <si>
    <t>41.3/15.9 deg C</t>
  </si>
  <si>
    <t>585.971</t>
  </si>
  <si>
    <t>245.6654 @ 75 C</t>
  </si>
  <si>
    <t>15.000 mm</t>
  </si>
  <si>
    <t>57.000 mm</t>
  </si>
  <si>
    <t>60.00 / 60.00 mm</t>
  </si>
  <si>
    <t>88.000 mm</t>
  </si>
  <si>
    <t>240.00 / 70.00 mm</t>
  </si>
  <si>
    <t>12.00 / 22.52</t>
  </si>
  <si>
    <t>5.02</t>
  </si>
  <si>
    <t>60.0 deg C</t>
  </si>
  <si>
    <t>9.93 / 23.20</t>
  </si>
  <si>
    <t>10.85 / 22.56</t>
  </si>
  <si>
    <t>1.39 /  6.12</t>
  </si>
  <si>
    <t>227 /    1560</t>
  </si>
  <si>
    <t>1.61 /  1.71</t>
  </si>
  <si>
    <t>414 kg</t>
  </si>
  <si>
    <t>492.00/ 858.55 mm</t>
  </si>
  <si>
    <t>41 kg</t>
  </si>
  <si>
    <t>4.31 kg</t>
  </si>
  <si>
    <t>295 kg</t>
  </si>
  <si>
    <t>0.16 kp/cm2    79</t>
  </si>
  <si>
    <t>85/ 100/  85/ 100</t>
  </si>
  <si>
    <t>12/   5/  12/   5</t>
  </si>
  <si>
    <t>23/   106 kg</t>
  </si>
  <si>
    <t>210/  50/ 210/  50</t>
  </si>
  <si>
    <t>1035/ 481/1035/ 481</t>
  </si>
  <si>
    <t>882 kg</t>
  </si>
  <si>
    <t>1034.5x 480.7x 802.0</t>
  </si>
  <si>
    <t>1615</t>
  </si>
  <si>
    <t>1173/      641</t>
  </si>
  <si>
    <t>43/     135</t>
  </si>
  <si>
    <t>67</t>
  </si>
  <si>
    <t>4310</t>
  </si>
  <si>
    <t>411</t>
  </si>
  <si>
    <t>225</t>
  </si>
  <si>
    <t>0</t>
  </si>
  <si>
    <t>8620</t>
  </si>
  <si>
    <t>752  Watts</t>
  </si>
  <si>
    <t>645  Watts</t>
  </si>
  <si>
    <t>753 ( 0.1)</t>
  </si>
  <si>
    <t>701 ( 7.6)</t>
  </si>
  <si>
    <t>10 /     60</t>
  </si>
  <si>
    <t>226  Watts</t>
  </si>
  <si>
    <t>1524 ( 8.2)</t>
  </si>
  <si>
    <t>1750 @  75 C</t>
  </si>
  <si>
    <t>3.99/1.52/0.01 %</t>
  </si>
  <si>
    <t>4.273 %</t>
  </si>
  <si>
    <t>31.7 deg C</t>
  </si>
  <si>
    <t>4.500 %</t>
  </si>
  <si>
    <t>910     LV Rad Fact</t>
  </si>
  <si>
    <t>or -   0.980     OPT</t>
  </si>
  <si>
    <t>@.......: 1 - 5401,</t>
  </si>
  <si>
    <t>- 5272, 3 - 5144, 4</t>
  </si>
  <si>
    <t>- 5015, 5 - 4887</t>
  </si>
  <si>
    <t>Imperio</t>
  </si>
  <si>
    <t>LME     (U$/MT) = 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</si>
</sst>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[$-809]dd\ mmmm\ yyyy;@"/>
    <numFmt numFmtId="165" formatCode="0.0"/>
    <numFmt numFmtId="166" formatCode="[$-409]mmmm\ d\,\ yyyy;@"/>
    <numFmt numFmtId="167" formatCode="#,##0.000"/>
    <numFmt numFmtId="168" formatCode="dd/mm/yyyy;@"/>
  </numFmts>
  <fonts count="7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sz val="3"/>
      <name val="Times New Roman"/>
      <family val="1"/>
    </font>
    <font>
      <u/>
      <sz val="12"/>
      <name val="Times New Roman"/>
      <family val="1"/>
    </font>
    <font>
      <sz val="10"/>
      <name val="Arial Narrow"/>
      <family val="2"/>
    </font>
    <font>
      <b/>
      <sz val="9"/>
      <name val="Arial"/>
      <family val="2"/>
    </font>
    <font>
      <b/>
      <sz val="11"/>
      <name val="Garamond"/>
      <family val="1"/>
    </font>
    <font>
      <b/>
      <u/>
      <sz val="14"/>
      <name val="Garamond"/>
      <family val="1"/>
    </font>
    <font>
      <sz val="10"/>
      <name val="Garamond"/>
      <family val="1"/>
    </font>
    <font>
      <b/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i/>
      <sz val="8"/>
      <name val="Arial"/>
      <family val="2"/>
    </font>
    <font>
      <b/>
      <sz val="10"/>
      <color indexed="9"/>
      <name val="Times New Roman"/>
      <family val="1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2"/>
      <color indexed="16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b/>
      <sz val="10"/>
      <color indexed="60"/>
      <name val="Arial"/>
      <family val="2"/>
    </font>
    <font>
      <sz val="10"/>
      <color indexed="13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50"/>
      <name val="Arial"/>
      <family val="2"/>
    </font>
    <font>
      <sz val="10"/>
      <color indexed="60"/>
      <name val="Arial"/>
      <family val="2"/>
    </font>
    <font>
      <b/>
      <sz val="10"/>
      <color indexed="11"/>
      <name val="Arial"/>
      <family val="2"/>
    </font>
    <font>
      <sz val="10"/>
      <color indexed="18"/>
      <name val="Arial"/>
      <family val="2"/>
    </font>
    <font>
      <sz val="10"/>
      <color indexed="58"/>
      <name val="Arial"/>
      <family val="2"/>
    </font>
    <font>
      <b/>
      <sz val="10"/>
      <color indexed="11"/>
      <name val="Arial"/>
      <family val="2"/>
    </font>
    <font>
      <b/>
      <sz val="10"/>
      <color indexed="56"/>
      <name val="Arial"/>
      <family val="2"/>
    </font>
    <font>
      <b/>
      <sz val="10"/>
      <color indexed="50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Times New Roman"/>
      <family val="1"/>
    </font>
    <font>
      <sz val="10"/>
      <color indexed="14"/>
      <name val="Arial"/>
      <family val="2"/>
    </font>
    <font>
      <sz val="10"/>
      <color indexed="52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b/>
      <sz val="10"/>
      <color indexed="14"/>
      <name val="Arial"/>
      <family val="2"/>
    </font>
    <font>
      <b/>
      <sz val="10"/>
      <color indexed="52"/>
      <name val="Arial"/>
      <family val="2"/>
    </font>
    <font>
      <b/>
      <sz val="10"/>
      <color indexed="19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b/>
      <u/>
      <sz val="10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b/>
      <u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0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2" fontId="0" fillId="0" borderId="0" xfId="0" applyNumberFormat="1" applyAlignment="1">
      <alignment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12" fillId="2" borderId="0" xfId="0" applyFont="1" applyFill="1"/>
    <xf numFmtId="0" fontId="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8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2" fontId="3" fillId="0" borderId="0" xfId="0" applyNumberFormat="1" applyFont="1"/>
    <xf numFmtId="0" fontId="2" fillId="4" borderId="0" xfId="0" applyFont="1" applyFill="1"/>
    <xf numFmtId="0" fontId="18" fillId="0" borderId="1" xfId="0" applyFont="1" applyBorder="1" applyAlignment="1">
      <alignment horizontal="justify" vertical="justify" shrinkToFit="1"/>
    </xf>
    <xf numFmtId="0" fontId="7" fillId="0" borderId="0" xfId="0" applyFont="1" applyAlignment="1">
      <alignment vertical="top" wrapText="1"/>
    </xf>
    <xf numFmtId="0" fontId="18" fillId="4" borderId="1" xfId="0" applyFont="1" applyFill="1" applyBorder="1" applyAlignment="1">
      <alignment horizontal="justify" vertical="justify" shrinkToFit="1"/>
    </xf>
    <xf numFmtId="0" fontId="19" fillId="4" borderId="2" xfId="0" applyFont="1" applyFill="1" applyBorder="1" applyAlignment="1">
      <alignment vertical="top" wrapText="1"/>
    </xf>
    <xf numFmtId="0" fontId="19" fillId="4" borderId="3" xfId="0" applyFont="1" applyFill="1" applyBorder="1" applyAlignment="1">
      <alignment vertical="top" wrapText="1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0" applyFont="1" applyFill="1" applyAlignment="1">
      <alignment horizontal="right"/>
    </xf>
    <xf numFmtId="0" fontId="10" fillId="4" borderId="0" xfId="0" applyFont="1" applyFill="1"/>
    <xf numFmtId="0" fontId="10" fillId="4" borderId="0" xfId="0" applyFont="1" applyFill="1" applyAlignment="1">
      <alignment horizontal="right"/>
    </xf>
    <xf numFmtId="0" fontId="19" fillId="4" borderId="2" xfId="0" applyFont="1" applyFill="1" applyBorder="1" applyAlignment="1">
      <alignment horizontal="center" vertical="top" wrapText="1"/>
    </xf>
    <xf numFmtId="0" fontId="0" fillId="5" borderId="0" xfId="0" applyFill="1"/>
    <xf numFmtId="0" fontId="24" fillId="5" borderId="0" xfId="0" applyFont="1" applyFill="1"/>
    <xf numFmtId="0" fontId="25" fillId="5" borderId="0" xfId="0" applyFont="1" applyFill="1"/>
    <xf numFmtId="0" fontId="0" fillId="0" borderId="0" xfId="0" applyAlignment="1">
      <alignment vertical="justify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27" fillId="0" borderId="0" xfId="0" applyFont="1"/>
    <xf numFmtId="0" fontId="27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18" fillId="0" borderId="2" xfId="0" applyFont="1" applyBorder="1" applyAlignment="1">
      <alignment horizontal="justify" vertical="justify" shrinkToFit="1"/>
    </xf>
    <xf numFmtId="0" fontId="18" fillId="0" borderId="4" xfId="0" applyFont="1" applyBorder="1" applyAlignment="1">
      <alignment horizontal="justify" vertical="justify" shrinkToFit="1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28" fillId="7" borderId="0" xfId="0" applyFont="1" applyFill="1"/>
    <xf numFmtId="0" fontId="6" fillId="0" borderId="0" xfId="0" applyFont="1"/>
    <xf numFmtId="0" fontId="28" fillId="0" borderId="0" xfId="0" applyFont="1"/>
    <xf numFmtId="0" fontId="29" fillId="0" borderId="0" xfId="0" applyFont="1"/>
    <xf numFmtId="0" fontId="26" fillId="0" borderId="0" xfId="0" applyFont="1"/>
    <xf numFmtId="0" fontId="2" fillId="2" borderId="0" xfId="0" applyFont="1" applyFill="1" applyAlignment="1">
      <alignment horizontal="left"/>
    </xf>
    <xf numFmtId="0" fontId="26" fillId="3" borderId="0" xfId="0" applyFont="1" applyFill="1"/>
    <xf numFmtId="0" fontId="30" fillId="8" borderId="0" xfId="0" applyFont="1" applyFill="1"/>
    <xf numFmtId="0" fontId="31" fillId="8" borderId="0" xfId="0" applyFont="1" applyFill="1"/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3" fillId="9" borderId="0" xfId="0" applyFont="1" applyFill="1"/>
    <xf numFmtId="0" fontId="2" fillId="9" borderId="0" xfId="0" applyFont="1" applyFill="1" applyAlignment="1">
      <alignment horizontal="left"/>
    </xf>
    <xf numFmtId="0" fontId="26" fillId="9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left"/>
    </xf>
    <xf numFmtId="0" fontId="3" fillId="0" borderId="0" xfId="0" applyFont="1" applyAlignment="1">
      <alignment horizontal="justify" vertical="top" wrapText="1"/>
    </xf>
    <xf numFmtId="0" fontId="3" fillId="2" borderId="0" xfId="0" applyFont="1" applyFill="1" applyAlignment="1">
      <alignment horizontal="left"/>
    </xf>
    <xf numFmtId="0" fontId="6" fillId="2" borderId="0" xfId="0" applyFont="1" applyFill="1"/>
    <xf numFmtId="0" fontId="3" fillId="0" borderId="0" xfId="0" applyFont="1" applyAlignment="1">
      <alignment horizontal="left"/>
    </xf>
    <xf numFmtId="0" fontId="18" fillId="0" borderId="6" xfId="0" applyFont="1" applyBorder="1" applyAlignment="1">
      <alignment horizontal="justify" vertical="justify" shrinkToFit="1"/>
    </xf>
    <xf numFmtId="0" fontId="18" fillId="4" borderId="6" xfId="0" applyFont="1" applyFill="1" applyBorder="1" applyAlignment="1">
      <alignment horizontal="justify" vertical="justify" shrinkToFit="1"/>
    </xf>
    <xf numFmtId="0" fontId="32" fillId="0" borderId="0" xfId="0" applyFont="1"/>
    <xf numFmtId="0" fontId="33" fillId="0" borderId="0" xfId="0" applyFont="1"/>
    <xf numFmtId="0" fontId="7" fillId="0" borderId="0" xfId="0" applyFont="1" applyAlignment="1">
      <alignment wrapText="1"/>
    </xf>
    <xf numFmtId="0" fontId="34" fillId="10" borderId="0" xfId="0" applyFont="1" applyFill="1" applyAlignment="1">
      <alignment horizontal="justify" vertical="top" wrapText="1"/>
    </xf>
    <xf numFmtId="0" fontId="34" fillId="10" borderId="7" xfId="0" applyFont="1" applyFill="1" applyBorder="1" applyAlignment="1">
      <alignment horizontal="justify" vertical="top" wrapText="1"/>
    </xf>
    <xf numFmtId="10" fontId="18" fillId="0" borderId="1" xfId="0" applyNumberFormat="1" applyFont="1" applyBorder="1" applyAlignment="1">
      <alignment horizontal="justify" vertical="justify" shrinkToFit="1"/>
    </xf>
    <xf numFmtId="10" fontId="18" fillId="0" borderId="2" xfId="0" applyNumberFormat="1" applyFont="1" applyBorder="1" applyAlignment="1">
      <alignment horizontal="justify" vertical="justify" shrinkToFit="1"/>
    </xf>
    <xf numFmtId="10" fontId="19" fillId="4" borderId="2" xfId="0" applyNumberFormat="1" applyFont="1" applyFill="1" applyBorder="1" applyAlignment="1">
      <alignment horizontal="center" vertical="top" wrapText="1"/>
    </xf>
    <xf numFmtId="0" fontId="36" fillId="0" borderId="0" xfId="0" applyFont="1"/>
    <xf numFmtId="0" fontId="37" fillId="0" borderId="1" xfId="0" applyFont="1" applyBorder="1" applyAlignment="1">
      <alignment horizontal="justify" vertical="justify" shrinkToFit="1"/>
    </xf>
    <xf numFmtId="0" fontId="37" fillId="0" borderId="2" xfId="0" applyFont="1" applyBorder="1" applyAlignment="1">
      <alignment horizontal="justify" vertical="justify" shrinkToFit="1"/>
    </xf>
    <xf numFmtId="0" fontId="37" fillId="4" borderId="1" xfId="0" applyFont="1" applyFill="1" applyBorder="1" applyAlignment="1">
      <alignment horizontal="justify" vertical="justify" shrinkToFit="1"/>
    </xf>
    <xf numFmtId="0" fontId="12" fillId="12" borderId="1" xfId="0" applyFont="1" applyFill="1" applyBorder="1"/>
    <xf numFmtId="0" fontId="35" fillId="12" borderId="1" xfId="0" applyFont="1" applyFill="1" applyBorder="1"/>
    <xf numFmtId="0" fontId="12" fillId="12" borderId="1" xfId="0" applyFont="1" applyFill="1" applyBorder="1" applyAlignment="1">
      <alignment horizontal="left"/>
    </xf>
    <xf numFmtId="10" fontId="12" fillId="12" borderId="1" xfId="0" applyNumberFormat="1" applyFont="1" applyFill="1" applyBorder="1"/>
    <xf numFmtId="0" fontId="12" fillId="12" borderId="6" xfId="0" applyFont="1" applyFill="1" applyBorder="1"/>
    <xf numFmtId="0" fontId="12" fillId="12" borderId="2" xfId="0" applyFont="1" applyFill="1" applyBorder="1"/>
    <xf numFmtId="0" fontId="12" fillId="12" borderId="3" xfId="0" applyFont="1" applyFill="1" applyBorder="1"/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justify"/>
    </xf>
    <xf numFmtId="0" fontId="0" fillId="0" borderId="8" xfId="0" applyBorder="1"/>
    <xf numFmtId="0" fontId="36" fillId="0" borderId="8" xfId="0" applyFont="1" applyBorder="1"/>
    <xf numFmtId="0" fontId="12" fillId="12" borderId="9" xfId="0" applyFont="1" applyFill="1" applyBorder="1"/>
    <xf numFmtId="0" fontId="12" fillId="12" borderId="10" xfId="0" applyFont="1" applyFill="1" applyBorder="1"/>
    <xf numFmtId="0" fontId="12" fillId="12" borderId="11" xfId="0" applyFont="1" applyFill="1" applyBorder="1"/>
    <xf numFmtId="0" fontId="35" fillId="12" borderId="12" xfId="0" applyFont="1" applyFill="1" applyBorder="1"/>
    <xf numFmtId="0" fontId="12" fillId="12" borderId="12" xfId="0" applyFont="1" applyFill="1" applyBorder="1" applyAlignment="1">
      <alignment horizontal="left"/>
    </xf>
    <xf numFmtId="0" fontId="35" fillId="12" borderId="12" xfId="0" applyFont="1" applyFill="1" applyBorder="1" applyAlignment="1">
      <alignment horizontal="left"/>
    </xf>
    <xf numFmtId="1" fontId="12" fillId="12" borderId="12" xfId="0" applyNumberFormat="1" applyFont="1" applyFill="1" applyBorder="1" applyAlignment="1">
      <alignment horizontal="center"/>
    </xf>
    <xf numFmtId="10" fontId="12" fillId="12" borderId="12" xfId="0" applyNumberFormat="1" applyFont="1" applyFill="1" applyBorder="1"/>
    <xf numFmtId="0" fontId="12" fillId="12" borderId="12" xfId="0" applyFont="1" applyFill="1" applyBorder="1"/>
    <xf numFmtId="0" fontId="12" fillId="12" borderId="13" xfId="0" applyFont="1" applyFill="1" applyBorder="1"/>
    <xf numFmtId="0" fontId="9" fillId="0" borderId="14" xfId="0" applyFont="1" applyBorder="1" applyAlignment="1">
      <alignment horizontal="justify" vertical="top" wrapText="1"/>
    </xf>
    <xf numFmtId="0" fontId="12" fillId="12" borderId="14" xfId="0" applyFont="1" applyFill="1" applyBorder="1"/>
    <xf numFmtId="0" fontId="9" fillId="0" borderId="15" xfId="0" applyFont="1" applyBorder="1" applyAlignment="1">
      <alignment horizontal="justify" vertical="top" wrapText="1"/>
    </xf>
    <xf numFmtId="0" fontId="9" fillId="4" borderId="14" xfId="0" applyFont="1" applyFill="1" applyBorder="1" applyAlignment="1">
      <alignment horizontal="justify" vertical="top" wrapText="1"/>
    </xf>
    <xf numFmtId="0" fontId="34" fillId="10" borderId="16" xfId="0" applyFont="1" applyFill="1" applyBorder="1" applyAlignment="1">
      <alignment horizontal="justify" vertical="top" wrapText="1"/>
    </xf>
    <xf numFmtId="0" fontId="6" fillId="0" borderId="0" xfId="0" applyFont="1" applyAlignment="1">
      <alignment horizontal="justify"/>
    </xf>
    <xf numFmtId="0" fontId="24" fillId="0" borderId="0" xfId="0" applyFont="1" applyAlignment="1">
      <alignment horizontal="justify" vertical="top" wrapText="1"/>
    </xf>
    <xf numFmtId="0" fontId="39" fillId="0" borderId="0" xfId="0" applyFont="1" applyAlignment="1">
      <alignment horizontal="justify" vertical="top" wrapText="1"/>
    </xf>
    <xf numFmtId="2" fontId="37" fillId="0" borderId="1" xfId="0" applyNumberFormat="1" applyFont="1" applyBorder="1" applyAlignment="1">
      <alignment horizontal="justify" vertical="justify" shrinkToFit="1"/>
    </xf>
    <xf numFmtId="2" fontId="37" fillId="0" borderId="2" xfId="0" applyNumberFormat="1" applyFont="1" applyBorder="1" applyAlignment="1">
      <alignment horizontal="justify" vertical="justify" shrinkToFit="1"/>
    </xf>
    <xf numFmtId="2" fontId="12" fillId="12" borderId="1" xfId="0" applyNumberFormat="1" applyFont="1" applyFill="1" applyBorder="1" applyAlignment="1">
      <alignment horizontal="center"/>
    </xf>
    <xf numFmtId="2" fontId="19" fillId="4" borderId="2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0" fontId="10" fillId="4" borderId="0" xfId="0" applyFont="1" applyFill="1" applyAlignment="1">
      <alignment horizontal="center"/>
    </xf>
    <xf numFmtId="0" fontId="30" fillId="0" borderId="0" xfId="0" applyFont="1"/>
    <xf numFmtId="49" fontId="3" fillId="0" borderId="1" xfId="0" applyNumberFormat="1" applyFont="1" applyBorder="1"/>
    <xf numFmtId="0" fontId="31" fillId="0" borderId="0" xfId="0" applyFont="1"/>
    <xf numFmtId="0" fontId="41" fillId="13" borderId="16" xfId="0" applyFont="1" applyFill="1" applyBorder="1" applyAlignment="1">
      <alignment horizontal="justify" vertical="top" wrapText="1"/>
    </xf>
    <xf numFmtId="0" fontId="41" fillId="13" borderId="0" xfId="0" applyFont="1" applyFill="1" applyAlignment="1">
      <alignment horizontal="justify" vertical="top" wrapText="1"/>
    </xf>
    <xf numFmtId="0" fontId="41" fillId="13" borderId="7" xfId="0" applyFont="1" applyFill="1" applyBorder="1" applyAlignment="1">
      <alignment horizontal="justify" vertical="top" wrapText="1"/>
    </xf>
    <xf numFmtId="0" fontId="42" fillId="14" borderId="17" xfId="0" applyFont="1" applyFill="1" applyBorder="1"/>
    <xf numFmtId="0" fontId="42" fillId="14" borderId="8" xfId="0" applyFont="1" applyFill="1" applyBorder="1"/>
    <xf numFmtId="0" fontId="42" fillId="14" borderId="18" xfId="0" applyFont="1" applyFill="1" applyBorder="1"/>
    <xf numFmtId="0" fontId="43" fillId="15" borderId="0" xfId="0" applyFont="1" applyFill="1" applyAlignment="1">
      <alignment horizontal="justify" vertical="top" wrapText="1"/>
    </xf>
    <xf numFmtId="0" fontId="1" fillId="0" borderId="0" xfId="0" applyFont="1" applyAlignment="1">
      <alignment horizontal="justify" vertical="top" wrapText="1"/>
    </xf>
    <xf numFmtId="0" fontId="40" fillId="0" borderId="0" xfId="0" applyFont="1"/>
    <xf numFmtId="0" fontId="43" fillId="15" borderId="16" xfId="0" applyFont="1" applyFill="1" applyBorder="1" applyAlignment="1">
      <alignment horizontal="justify" vertical="top" wrapText="1"/>
    </xf>
    <xf numFmtId="0" fontId="43" fillId="15" borderId="7" xfId="0" applyFont="1" applyFill="1" applyBorder="1" applyAlignment="1">
      <alignment horizontal="justify" vertical="top" wrapText="1"/>
    </xf>
    <xf numFmtId="0" fontId="46" fillId="12" borderId="16" xfId="0" applyFont="1" applyFill="1" applyBorder="1"/>
    <xf numFmtId="0" fontId="46" fillId="12" borderId="0" xfId="0" applyFont="1" applyFill="1"/>
    <xf numFmtId="0" fontId="46" fillId="12" borderId="0" xfId="0" applyFont="1" applyFill="1" applyAlignment="1">
      <alignment horizontal="left"/>
    </xf>
    <xf numFmtId="0" fontId="46" fillId="12" borderId="7" xfId="0" applyFont="1" applyFill="1" applyBorder="1"/>
    <xf numFmtId="0" fontId="47" fillId="6" borderId="19" xfId="0" applyFont="1" applyFill="1" applyBorder="1"/>
    <xf numFmtId="0" fontId="47" fillId="6" borderId="20" xfId="0" applyFont="1" applyFill="1" applyBorder="1"/>
    <xf numFmtId="0" fontId="47" fillId="6" borderId="21" xfId="0" applyFont="1" applyFill="1" applyBorder="1"/>
    <xf numFmtId="0" fontId="47" fillId="6" borderId="16" xfId="0" applyFont="1" applyFill="1" applyBorder="1"/>
    <xf numFmtId="0" fontId="47" fillId="6" borderId="0" xfId="0" applyFont="1" applyFill="1"/>
    <xf numFmtId="0" fontId="47" fillId="6" borderId="7" xfId="0" applyFont="1" applyFill="1" applyBorder="1"/>
    <xf numFmtId="0" fontId="47" fillId="6" borderId="20" xfId="0" applyFont="1" applyFill="1" applyBorder="1" applyAlignment="1">
      <alignment horizontal="right"/>
    </xf>
    <xf numFmtId="10" fontId="47" fillId="6" borderId="20" xfId="0" applyNumberFormat="1" applyFont="1" applyFill="1" applyBorder="1" applyAlignment="1">
      <alignment horizontal="right"/>
    </xf>
    <xf numFmtId="0" fontId="47" fillId="6" borderId="0" xfId="0" applyFont="1" applyFill="1" applyAlignment="1">
      <alignment horizontal="right"/>
    </xf>
    <xf numFmtId="10" fontId="47" fillId="6" borderId="0" xfId="0" applyNumberFormat="1" applyFont="1" applyFill="1" applyAlignment="1">
      <alignment horizontal="right"/>
    </xf>
    <xf numFmtId="0" fontId="46" fillId="12" borderId="0" xfId="0" applyFont="1" applyFill="1" applyAlignment="1">
      <alignment horizontal="right"/>
    </xf>
    <xf numFmtId="0" fontId="34" fillId="10" borderId="0" xfId="0" applyFont="1" applyFill="1" applyAlignment="1">
      <alignment horizontal="right" vertical="top" wrapText="1"/>
    </xf>
    <xf numFmtId="9" fontId="41" fillId="13" borderId="0" xfId="0" applyNumberFormat="1" applyFont="1" applyFill="1" applyAlignment="1">
      <alignment horizontal="right" vertical="top" wrapText="1"/>
    </xf>
    <xf numFmtId="0" fontId="41" fillId="13" borderId="0" xfId="0" applyFont="1" applyFill="1" applyAlignment="1">
      <alignment horizontal="right" vertical="top" wrapText="1"/>
    </xf>
    <xf numFmtId="0" fontId="43" fillId="15" borderId="0" xfId="0" applyFont="1" applyFill="1" applyAlignment="1">
      <alignment horizontal="right" vertical="top" wrapText="1"/>
    </xf>
    <xf numFmtId="0" fontId="42" fillId="14" borderId="8" xfId="0" applyFont="1" applyFill="1" applyBorder="1" applyAlignment="1">
      <alignment horizontal="right"/>
    </xf>
    <xf numFmtId="9" fontId="47" fillId="6" borderId="0" xfId="0" applyNumberFormat="1" applyFont="1" applyFill="1" applyAlignment="1">
      <alignment horizontal="right"/>
    </xf>
    <xf numFmtId="2" fontId="46" fillId="12" borderId="0" xfId="0" applyNumberFormat="1" applyFont="1" applyFill="1" applyAlignment="1">
      <alignment horizontal="right"/>
    </xf>
    <xf numFmtId="2" fontId="47" fillId="6" borderId="20" xfId="0" applyNumberFormat="1" applyFont="1" applyFill="1" applyBorder="1" applyAlignment="1">
      <alignment horizontal="right"/>
    </xf>
    <xf numFmtId="2" fontId="47" fillId="6" borderId="0" xfId="0" applyNumberFormat="1" applyFont="1" applyFill="1" applyAlignment="1">
      <alignment horizontal="right"/>
    </xf>
    <xf numFmtId="2" fontId="34" fillId="10" borderId="0" xfId="0" applyNumberFormat="1" applyFont="1" applyFill="1" applyAlignment="1">
      <alignment horizontal="right" vertical="top" wrapText="1"/>
    </xf>
    <xf numFmtId="10" fontId="42" fillId="12" borderId="0" xfId="0" applyNumberFormat="1" applyFont="1" applyFill="1" applyAlignment="1">
      <alignment horizontal="right"/>
    </xf>
    <xf numFmtId="10" fontId="44" fillId="10" borderId="0" xfId="0" applyNumberFormat="1" applyFont="1" applyFill="1" applyAlignment="1">
      <alignment horizontal="right" vertical="top" wrapText="1"/>
    </xf>
    <xf numFmtId="10" fontId="49" fillId="13" borderId="0" xfId="0" applyNumberFormat="1" applyFont="1" applyFill="1" applyAlignment="1">
      <alignment horizontal="right" vertical="top" wrapText="1"/>
    </xf>
    <xf numFmtId="10" fontId="50" fillId="15" borderId="0" xfId="0" applyNumberFormat="1" applyFont="1" applyFill="1" applyAlignment="1">
      <alignment horizontal="right" vertical="top" wrapText="1"/>
    </xf>
    <xf numFmtId="0" fontId="24" fillId="0" borderId="0" xfId="0" applyFont="1"/>
    <xf numFmtId="0" fontId="51" fillId="0" borderId="0" xfId="0" applyFont="1"/>
    <xf numFmtId="0" fontId="52" fillId="0" borderId="0" xfId="0" applyFont="1" applyAlignment="1">
      <alignment vertical="top" wrapText="1"/>
    </xf>
    <xf numFmtId="166" fontId="24" fillId="0" borderId="0" xfId="0" applyNumberFormat="1" applyFont="1" applyAlignment="1">
      <alignment horizontal="justify" vertical="top" wrapText="1"/>
    </xf>
    <xf numFmtId="5" fontId="46" fillId="12" borderId="0" xfId="0" applyNumberFormat="1" applyFont="1" applyFill="1" applyAlignment="1">
      <alignment horizontal="right"/>
    </xf>
    <xf numFmtId="0" fontId="1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35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165" fontId="37" fillId="0" borderId="1" xfId="0" applyNumberFormat="1" applyFont="1" applyBorder="1" applyAlignment="1">
      <alignment horizontal="justify" vertical="justify" shrinkToFit="1"/>
    </xf>
    <xf numFmtId="165" fontId="37" fillId="0" borderId="2" xfId="0" applyNumberFormat="1" applyFont="1" applyBorder="1" applyAlignment="1">
      <alignment horizontal="justify" vertical="justify" shrinkToFit="1"/>
    </xf>
    <xf numFmtId="165" fontId="12" fillId="12" borderId="1" xfId="0" applyNumberFormat="1" applyFont="1" applyFill="1" applyBorder="1" applyAlignment="1">
      <alignment horizontal="left"/>
    </xf>
    <xf numFmtId="0" fontId="60" fillId="0" borderId="0" xfId="0" applyFont="1"/>
    <xf numFmtId="0" fontId="61" fillId="0" borderId="0" xfId="0" applyFont="1"/>
    <xf numFmtId="0" fontId="60" fillId="0" borderId="0" xfId="0" applyFont="1" applyAlignment="1">
      <alignment horizontal="right"/>
    </xf>
    <xf numFmtId="0" fontId="6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3" fontId="43" fillId="15" borderId="0" xfId="0" applyNumberFormat="1" applyFont="1" applyFill="1" applyAlignment="1">
      <alignment horizontal="right" vertical="top" wrapText="1"/>
    </xf>
    <xf numFmtId="0" fontId="63" fillId="0" borderId="1" xfId="0" applyFont="1" applyBorder="1" applyAlignment="1">
      <alignment vertic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22" xfId="0" applyFont="1" applyBorder="1" applyAlignment="1">
      <alignment horizontal="center" vertical="center" wrapText="1"/>
    </xf>
    <xf numFmtId="0" fontId="63" fillId="0" borderId="23" xfId="0" applyFont="1" applyBorder="1" applyAlignment="1">
      <alignment vertical="center" wrapText="1"/>
    </xf>
    <xf numFmtId="0" fontId="63" fillId="0" borderId="2" xfId="0" applyFont="1" applyBorder="1" applyAlignment="1">
      <alignment horizontal="center" vertical="center" wrapText="1"/>
    </xf>
    <xf numFmtId="0" fontId="4" fillId="0" borderId="20" xfId="0" applyFont="1" applyBorder="1"/>
    <xf numFmtId="0" fontId="4" fillId="0" borderId="1" xfId="0" applyFont="1" applyBorder="1" applyAlignment="1">
      <alignment horizontal="center"/>
    </xf>
    <xf numFmtId="0" fontId="3" fillId="16" borderId="0" xfId="0" applyFont="1" applyFill="1"/>
    <xf numFmtId="0" fontId="0" fillId="16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left"/>
    </xf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20" xfId="0" applyFont="1" applyBorder="1"/>
    <xf numFmtId="0" fontId="8" fillId="0" borderId="20" xfId="0" applyFont="1" applyBorder="1" applyAlignment="1">
      <alignment wrapText="1"/>
    </xf>
    <xf numFmtId="1" fontId="63" fillId="0" borderId="2" xfId="0" applyNumberFormat="1" applyFont="1" applyBorder="1" applyAlignment="1">
      <alignment horizontal="center" vertical="center" wrapText="1"/>
    </xf>
    <xf numFmtId="2" fontId="63" fillId="0" borderId="2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63" fillId="0" borderId="0" xfId="0" applyFont="1" applyAlignment="1">
      <alignment vertical="center" wrapText="1"/>
    </xf>
    <xf numFmtId="0" fontId="63" fillId="0" borderId="23" xfId="0" applyFont="1" applyBorder="1" applyAlignment="1">
      <alignment horizontal="right" vertical="center" wrapText="1"/>
    </xf>
    <xf numFmtId="0" fontId="63" fillId="0" borderId="25" xfId="0" applyFont="1" applyBorder="1" applyAlignment="1">
      <alignment horizontal="left" vertical="center" wrapText="1"/>
    </xf>
    <xf numFmtId="0" fontId="13" fillId="0" borderId="3" xfId="0" applyFont="1" applyBorder="1" applyAlignment="1">
      <alignment vertical="center" wrapText="1"/>
    </xf>
    <xf numFmtId="0" fontId="23" fillId="0" borderId="3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3" fillId="0" borderId="24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63" fillId="0" borderId="12" xfId="0" applyFont="1" applyBorder="1" applyAlignment="1">
      <alignment vertical="center" wrapText="1"/>
    </xf>
    <xf numFmtId="0" fontId="63" fillId="0" borderId="13" xfId="0" applyFont="1" applyBorder="1" applyAlignment="1">
      <alignment horizontal="center" vertical="center" wrapText="1"/>
    </xf>
    <xf numFmtId="0" fontId="63" fillId="0" borderId="14" xfId="0" applyFont="1" applyBorder="1" applyAlignment="1">
      <alignment vertical="center" wrapText="1"/>
    </xf>
    <xf numFmtId="0" fontId="63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vertical="center" wrapText="1"/>
    </xf>
    <xf numFmtId="0" fontId="63" fillId="0" borderId="28" xfId="0" applyFont="1" applyBorder="1" applyAlignment="1">
      <alignment vertical="center" wrapText="1"/>
    </xf>
    <xf numFmtId="0" fontId="63" fillId="0" borderId="29" xfId="0" applyFont="1" applyBorder="1" applyAlignment="1">
      <alignment horizontal="center" vertical="center" wrapText="1"/>
    </xf>
    <xf numFmtId="0" fontId="6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0" fontId="63" fillId="0" borderId="30" xfId="0" applyFont="1" applyBorder="1" applyAlignment="1">
      <alignment horizontal="center" vertical="center" wrapText="1"/>
    </xf>
    <xf numFmtId="0" fontId="63" fillId="0" borderId="6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14" fontId="13" fillId="0" borderId="28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vertical="center" wrapText="1"/>
    </xf>
    <xf numFmtId="0" fontId="13" fillId="0" borderId="32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68" fillId="0" borderId="0" xfId="0" applyFont="1"/>
    <xf numFmtId="0" fontId="69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2" fontId="63" fillId="0" borderId="1" xfId="0" applyNumberFormat="1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2" fontId="12" fillId="12" borderId="1" xfId="0" applyNumberFormat="1" applyFont="1" applyFill="1" applyBorder="1" applyAlignment="1">
      <alignment horizontal="left"/>
    </xf>
    <xf numFmtId="0" fontId="63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/>
    </xf>
    <xf numFmtId="0" fontId="63" fillId="0" borderId="23" xfId="0" applyFont="1" applyBorder="1" applyAlignment="1">
      <alignment horizontal="center" vertical="center" wrapText="1"/>
    </xf>
    <xf numFmtId="0" fontId="63" fillId="0" borderId="23" xfId="0" applyFont="1" applyBorder="1" applyAlignment="1">
      <alignment horizontal="left" vertical="center" wrapText="1"/>
    </xf>
    <xf numFmtId="0" fontId="63" fillId="0" borderId="28" xfId="0" applyFont="1" applyBorder="1" applyAlignment="1">
      <alignment horizontal="left" vertical="center" wrapText="1"/>
    </xf>
    <xf numFmtId="0" fontId="13" fillId="0" borderId="32" xfId="0" applyFont="1" applyBorder="1" applyAlignment="1">
      <alignment vertical="center" wrapText="1"/>
    </xf>
    <xf numFmtId="0" fontId="13" fillId="0" borderId="23" xfId="0" applyFont="1" applyBorder="1" applyAlignment="1">
      <alignment horizont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right" vertical="top" wrapText="1"/>
    </xf>
    <xf numFmtId="0" fontId="8" fillId="0" borderId="12" xfId="0" applyFont="1" applyBorder="1" applyAlignment="1">
      <alignment horizontal="center" vertical="top" wrapText="1"/>
    </xf>
    <xf numFmtId="0" fontId="7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center"/>
    </xf>
    <xf numFmtId="0" fontId="9" fillId="0" borderId="51" xfId="0" applyFont="1" applyBorder="1" applyAlignment="1">
      <alignment horizontal="justify" vertical="top" wrapText="1"/>
    </xf>
    <xf numFmtId="0" fontId="18" fillId="0" borderId="3" xfId="0" applyFont="1" applyBorder="1" applyAlignment="1">
      <alignment horizontal="justify" vertical="justify" shrinkToFit="1"/>
    </xf>
    <xf numFmtId="0" fontId="18" fillId="20" borderId="1" xfId="0" applyFont="1" applyFill="1" applyBorder="1" applyAlignment="1">
      <alignment horizontal="justify" vertical="justify" shrinkToFit="1"/>
    </xf>
    <xf numFmtId="165" fontId="37" fillId="20" borderId="1" xfId="0" applyNumberFormat="1" applyFont="1" applyFill="1" applyBorder="1" applyAlignment="1">
      <alignment horizontal="justify" vertical="justify" shrinkToFit="1"/>
    </xf>
    <xf numFmtId="10" fontId="18" fillId="20" borderId="1" xfId="0" applyNumberFormat="1" applyFont="1" applyFill="1" applyBorder="1" applyAlignment="1">
      <alignment horizontal="justify" vertical="justify" shrinkToFit="1"/>
    </xf>
    <xf numFmtId="0" fontId="18" fillId="20" borderId="6" xfId="0" applyFont="1" applyFill="1" applyBorder="1" applyAlignment="1">
      <alignment horizontal="justify" vertical="justify" shrinkToFit="1"/>
    </xf>
    <xf numFmtId="0" fontId="9" fillId="20" borderId="14" xfId="0" applyFont="1" applyFill="1" applyBorder="1" applyAlignment="1">
      <alignment horizontal="justify" vertical="top" wrapText="1"/>
    </xf>
    <xf numFmtId="2" fontId="18" fillId="0" borderId="6" xfId="0" applyNumberFormat="1" applyFont="1" applyBorder="1" applyAlignment="1">
      <alignment horizontal="justify" vertical="justify" shrinkToFit="1"/>
    </xf>
    <xf numFmtId="0" fontId="18" fillId="0" borderId="37" xfId="0" applyFont="1" applyBorder="1" applyAlignment="1">
      <alignment horizontal="justify" vertical="justify" shrinkToFit="1"/>
    </xf>
    <xf numFmtId="0" fontId="18" fillId="20" borderId="3" xfId="0" applyFont="1" applyFill="1" applyBorder="1" applyAlignment="1">
      <alignment horizontal="justify" vertical="justify" shrinkToFit="1"/>
    </xf>
    <xf numFmtId="0" fontId="3" fillId="0" borderId="1" xfId="0" applyFont="1" applyBorder="1"/>
    <xf numFmtId="2" fontId="3" fillId="0" borderId="1" xfId="0" applyNumberFormat="1" applyFont="1" applyBorder="1" applyAlignment="1">
      <alignment horizontal="left"/>
    </xf>
    <xf numFmtId="0" fontId="3" fillId="0" borderId="6" xfId="0" applyFont="1" applyBorder="1"/>
    <xf numFmtId="0" fontId="37" fillId="0" borderId="1" xfId="0" applyFont="1" applyBorder="1" applyAlignment="1">
      <alignment horizontal="left" vertical="justify" shrinkToFit="1"/>
    </xf>
    <xf numFmtId="2" fontId="37" fillId="0" borderId="1" xfId="0" applyNumberFormat="1" applyFont="1" applyBorder="1" applyAlignment="1">
      <alignment horizontal="left" vertical="justify" shrinkToFit="1"/>
    </xf>
    <xf numFmtId="0" fontId="3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 vertical="top" wrapText="1"/>
    </xf>
    <xf numFmtId="10" fontId="12" fillId="12" borderId="1" xfId="0" applyNumberFormat="1" applyFont="1" applyFill="1" applyBorder="1" applyAlignment="1">
      <alignment horizontal="left"/>
    </xf>
    <xf numFmtId="0" fontId="8" fillId="4" borderId="46" xfId="0" applyFont="1" applyFill="1" applyBorder="1" applyAlignment="1">
      <alignment horizontal="center" vertical="center" wrapText="1"/>
    </xf>
    <xf numFmtId="0" fontId="20" fillId="4" borderId="33" xfId="0" applyFont="1" applyFill="1" applyBorder="1" applyAlignment="1">
      <alignment horizontal="center" vertical="center" wrapText="1"/>
    </xf>
    <xf numFmtId="0" fontId="20" fillId="4" borderId="4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2" fillId="21" borderId="0" xfId="0" applyFont="1" applyFill="1"/>
    <xf numFmtId="0" fontId="2" fillId="21" borderId="0" xfId="0" applyFont="1" applyFill="1" applyAlignment="1">
      <alignment horizontal="left"/>
    </xf>
    <xf numFmtId="0" fontId="33" fillId="21" borderId="0" xfId="0" applyFont="1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1" borderId="0" xfId="0" applyFont="1" applyFill="1" applyAlignment="1">
      <alignment horizontal="left"/>
    </xf>
    <xf numFmtId="2" fontId="37" fillId="0" borderId="1" xfId="0" applyNumberFormat="1" applyFont="1" applyBorder="1" applyAlignment="1">
      <alignment horizontal="left"/>
    </xf>
    <xf numFmtId="165" fontId="37" fillId="0" borderId="1" xfId="0" applyNumberFormat="1" applyFont="1" applyBorder="1" applyAlignment="1">
      <alignment horizontal="left"/>
    </xf>
    <xf numFmtId="10" fontId="18" fillId="0" borderId="1" xfId="0" applyNumberFormat="1" applyFont="1" applyBorder="1" applyAlignment="1">
      <alignment horizontal="left"/>
    </xf>
    <xf numFmtId="0" fontId="0" fillId="22" borderId="1" xfId="0" applyFill="1" applyBorder="1"/>
    <xf numFmtId="0" fontId="45" fillId="0" borderId="0" xfId="0" applyFont="1" applyAlignment="1">
      <alignment horizontal="justify" vertical="top" wrapText="1"/>
    </xf>
    <xf numFmtId="0" fontId="45" fillId="0" borderId="0" xfId="0" applyFont="1" applyAlignment="1">
      <alignment horizontal="left" vertical="top" wrapText="1"/>
    </xf>
    <xf numFmtId="9" fontId="45" fillId="0" borderId="0" xfId="0" applyNumberFormat="1" applyFont="1" applyAlignment="1">
      <alignment horizontal="right" vertical="top" wrapText="1"/>
    </xf>
    <xf numFmtId="2" fontId="45" fillId="0" borderId="0" xfId="0" applyNumberFormat="1" applyFont="1" applyAlignment="1">
      <alignment horizontal="right" vertical="top" wrapText="1"/>
    </xf>
    <xf numFmtId="10" fontId="48" fillId="0" borderId="0" xfId="0" applyNumberFormat="1" applyFont="1" applyAlignment="1">
      <alignment horizontal="right" vertical="top" wrapText="1"/>
    </xf>
    <xf numFmtId="0" fontId="41" fillId="0" borderId="0" xfId="0" applyFont="1" applyAlignment="1">
      <alignment horizontal="justify" vertical="top" wrapText="1"/>
    </xf>
    <xf numFmtId="9" fontId="41" fillId="0" borderId="0" xfId="0" applyNumberFormat="1" applyFont="1" applyAlignment="1">
      <alignment horizontal="right" vertical="top" wrapText="1"/>
    </xf>
    <xf numFmtId="0" fontId="41" fillId="0" borderId="0" xfId="0" applyFont="1" applyAlignment="1">
      <alignment horizontal="right" vertical="top" wrapText="1"/>
    </xf>
    <xf numFmtId="10" fontId="49" fillId="0" borderId="0" xfId="0" applyNumberFormat="1" applyFont="1" applyAlignment="1">
      <alignment horizontal="right" vertical="top" wrapText="1"/>
    </xf>
    <xf numFmtId="0" fontId="41" fillId="0" borderId="0" xfId="0" applyFont="1"/>
    <xf numFmtId="0" fontId="43" fillId="0" borderId="0" xfId="0" applyFont="1" applyAlignment="1">
      <alignment horizontal="justify" vertical="top" wrapText="1"/>
    </xf>
    <xf numFmtId="0" fontId="43" fillId="0" borderId="0" xfId="0" applyFont="1" applyAlignment="1">
      <alignment horizontal="right" vertical="top" wrapText="1"/>
    </xf>
    <xf numFmtId="3" fontId="43" fillId="0" borderId="0" xfId="0" applyNumberFormat="1" applyFont="1" applyAlignment="1">
      <alignment horizontal="right" vertical="top" wrapText="1"/>
    </xf>
    <xf numFmtId="10" fontId="50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horizontal="justify" wrapText="1"/>
    </xf>
    <xf numFmtId="0" fontId="42" fillId="0" borderId="0" xfId="0" applyFont="1"/>
    <xf numFmtId="0" fontId="42" fillId="0" borderId="0" xfId="0" applyFont="1" applyAlignment="1">
      <alignment horizontal="right"/>
    </xf>
    <xf numFmtId="0" fontId="9" fillId="0" borderId="14" xfId="0" applyFont="1" applyBorder="1" applyAlignment="1">
      <alignment horizontal="left"/>
    </xf>
    <xf numFmtId="0" fontId="3" fillId="23" borderId="0" xfId="0" applyFont="1" applyFill="1"/>
    <xf numFmtId="0" fontId="0" fillId="23" borderId="0" xfId="0" applyFill="1"/>
    <xf numFmtId="0" fontId="8" fillId="0" borderId="1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36" xfId="0" applyFont="1" applyBorder="1" applyAlignment="1">
      <alignment horizontal="center" vertical="top" wrapText="1"/>
    </xf>
    <xf numFmtId="0" fontId="4" fillId="0" borderId="1" xfId="0" applyFont="1" applyBorder="1"/>
    <xf numFmtId="0" fontId="6" fillId="21" borderId="0" xfId="0" applyFont="1" applyFill="1"/>
    <xf numFmtId="0" fontId="3" fillId="21" borderId="0" xfId="0" applyFont="1" applyFill="1" applyAlignment="1">
      <alignment horizontal="justify" vertical="top" wrapText="1"/>
    </xf>
    <xf numFmtId="0" fontId="0" fillId="21" borderId="0" xfId="0" applyFill="1"/>
    <xf numFmtId="0" fontId="3" fillId="21" borderId="0" xfId="0" applyFont="1" applyFill="1"/>
    <xf numFmtId="0" fontId="0" fillId="21" borderId="0" xfId="0" applyFill="1" applyAlignment="1">
      <alignment horizontal="right"/>
    </xf>
    <xf numFmtId="0" fontId="4" fillId="0" borderId="0" xfId="1" applyFont="1"/>
    <xf numFmtId="0" fontId="70" fillId="0" borderId="1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70" fillId="0" borderId="44" xfId="0" applyFont="1" applyBorder="1" applyAlignment="1">
      <alignment vertical="center"/>
    </xf>
    <xf numFmtId="0" fontId="0" fillId="0" borderId="44" xfId="0" applyBorder="1"/>
    <xf numFmtId="0" fontId="8" fillId="0" borderId="0" xfId="0" applyFont="1" applyAlignment="1">
      <alignment horizontal="left" wrapText="1"/>
    </xf>
    <xf numFmtId="0" fontId="1" fillId="0" borderId="1" xfId="0" applyFont="1" applyBorder="1"/>
    <xf numFmtId="0" fontId="0" fillId="0" borderId="0" xfId="0" applyAlignment="1">
      <alignment horizontal="left" vertical="center"/>
    </xf>
    <xf numFmtId="0" fontId="0" fillId="24" borderId="0" xfId="0" applyFill="1"/>
    <xf numFmtId="49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8" fillId="25" borderId="0" xfId="0" applyFont="1" applyFill="1"/>
    <xf numFmtId="0" fontId="0" fillId="25" borderId="0" xfId="0" applyFill="1"/>
    <xf numFmtId="0" fontId="30" fillId="26" borderId="0" xfId="0" applyFont="1" applyFill="1"/>
    <xf numFmtId="0" fontId="0" fillId="26" borderId="0" xfId="0" applyFill="1"/>
    <xf numFmtId="0" fontId="63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64" fontId="17" fillId="0" borderId="0" xfId="0" applyNumberFormat="1" applyFont="1" applyAlignment="1">
      <alignment wrapText="1"/>
    </xf>
    <xf numFmtId="0" fontId="44" fillId="0" borderId="53" xfId="0" applyFont="1" applyBorder="1"/>
    <xf numFmtId="0" fontId="44" fillId="0" borderId="5" xfId="0" applyFont="1" applyBorder="1"/>
    <xf numFmtId="9" fontId="4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10" fontId="44" fillId="0" borderId="5" xfId="0" applyNumberFormat="1" applyFont="1" applyBorder="1" applyAlignment="1">
      <alignment horizontal="right"/>
    </xf>
    <xf numFmtId="0" fontId="44" fillId="0" borderId="43" xfId="0" applyFont="1" applyBorder="1"/>
    <xf numFmtId="0" fontId="34" fillId="0" borderId="8" xfId="0" applyFont="1" applyBorder="1" applyAlignment="1">
      <alignment horizontal="justify" vertical="top" wrapText="1"/>
    </xf>
    <xf numFmtId="0" fontId="38" fillId="0" borderId="8" xfId="0" applyFont="1" applyBorder="1" applyAlignment="1">
      <alignment horizontal="left" vertical="top" wrapText="1"/>
    </xf>
    <xf numFmtId="9" fontId="34" fillId="0" borderId="8" xfId="0" applyNumberFormat="1" applyFont="1" applyBorder="1" applyAlignment="1">
      <alignment horizontal="right" vertical="top" wrapText="1"/>
    </xf>
    <xf numFmtId="2" fontId="38" fillId="0" borderId="8" xfId="0" applyNumberFormat="1" applyFont="1" applyBorder="1" applyAlignment="1">
      <alignment horizontal="right" vertical="top" wrapText="1"/>
    </xf>
    <xf numFmtId="10" fontId="44" fillId="0" borderId="8" xfId="0" applyNumberFormat="1" applyFont="1" applyBorder="1" applyAlignment="1">
      <alignment horizontal="right" vertical="top" wrapText="1"/>
    </xf>
    <xf numFmtId="0" fontId="34" fillId="0" borderId="18" xfId="0" applyFont="1" applyBorder="1" applyAlignment="1">
      <alignment horizontal="justify" vertical="top" wrapText="1"/>
    </xf>
    <xf numFmtId="0" fontId="0" fillId="11" borderId="52" xfId="0" applyFill="1" applyBorder="1"/>
    <xf numFmtId="0" fontId="0" fillId="22" borderId="4" xfId="0" applyFill="1" applyBorder="1"/>
    <xf numFmtId="0" fontId="0" fillId="0" borderId="20" xfId="0" applyBorder="1"/>
    <xf numFmtId="0" fontId="23" fillId="0" borderId="0" xfId="0" applyFont="1" applyAlignment="1">
      <alignment vertical="justify"/>
    </xf>
    <xf numFmtId="0" fontId="2" fillId="4" borderId="1" xfId="0" applyFont="1" applyFill="1" applyBorder="1" applyAlignment="1">
      <alignment horizontal="center" vertical="justify"/>
    </xf>
    <xf numFmtId="0" fontId="2" fillId="27" borderId="1" xfId="0" applyFont="1" applyFill="1" applyBorder="1" applyAlignment="1">
      <alignment horizontal="center" vertical="justify"/>
    </xf>
    <xf numFmtId="0" fontId="2" fillId="4" borderId="1" xfId="0" applyFont="1" applyFill="1" applyBorder="1"/>
    <xf numFmtId="0" fontId="0" fillId="4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22" borderId="0" xfId="0" applyFont="1" applyFill="1"/>
    <xf numFmtId="0" fontId="3" fillId="0" borderId="3" xfId="0" applyFont="1" applyBorder="1" applyAlignment="1">
      <alignment horizontal="center"/>
    </xf>
    <xf numFmtId="0" fontId="30" fillId="0" borderId="1" xfId="0" applyFont="1" applyBorder="1"/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0" borderId="2" xfId="0" applyBorder="1"/>
    <xf numFmtId="2" fontId="18" fillId="0" borderId="1" xfId="2" applyNumberFormat="1" applyFont="1" applyBorder="1" applyAlignment="1">
      <alignment horizontal="justify" vertical="justify" shrinkToFit="1"/>
    </xf>
    <xf numFmtId="2" fontId="18" fillId="0" borderId="2" xfId="2" applyNumberFormat="1" applyFont="1" applyBorder="1" applyAlignment="1">
      <alignment horizontal="justify" vertical="justify" shrinkToFit="1"/>
    </xf>
    <xf numFmtId="2" fontId="19" fillId="4" borderId="2" xfId="2" applyNumberFormat="1" applyFont="1" applyFill="1" applyBorder="1" applyAlignment="1">
      <alignment horizontal="center" vertical="top" wrapText="1"/>
    </xf>
    <xf numFmtId="2" fontId="11" fillId="20" borderId="1" xfId="2" applyNumberFormat="1" applyFont="1" applyFill="1" applyBorder="1" applyAlignment="1">
      <alignment horizontal="left"/>
    </xf>
    <xf numFmtId="2" fontId="18" fillId="20" borderId="1" xfId="2" applyNumberFormat="1" applyFont="1" applyFill="1" applyBorder="1" applyAlignment="1">
      <alignment horizontal="justify" vertical="justify" shrinkToFit="1"/>
    </xf>
    <xf numFmtId="2" fontId="18" fillId="0" borderId="1" xfId="2" applyNumberFormat="1" applyFont="1" applyBorder="1" applyAlignment="1">
      <alignment horizontal="left"/>
    </xf>
    <xf numFmtId="2" fontId="11" fillId="12" borderId="1" xfId="2" applyNumberFormat="1" applyFont="1" applyFill="1" applyBorder="1" applyAlignment="1">
      <alignment horizontal="left"/>
    </xf>
    <xf numFmtId="0" fontId="9" fillId="0" borderId="4" xfId="0" applyFont="1" applyBorder="1" applyAlignment="1">
      <alignment horizontal="center" vertical="center" wrapText="1"/>
    </xf>
    <xf numFmtId="2" fontId="37" fillId="0" borderId="1" xfId="2" applyNumberFormat="1" applyFont="1" applyBorder="1" applyAlignment="1">
      <alignment horizontal="justify" vertical="justify" shrinkToFit="1"/>
    </xf>
    <xf numFmtId="0" fontId="0" fillId="17" borderId="1" xfId="0" applyFill="1" applyBorder="1"/>
    <xf numFmtId="0" fontId="0" fillId="17" borderId="1" xfId="0" applyFill="1" applyBorder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1" xfId="0" applyFont="1" applyBorder="1" applyAlignment="1">
      <alignment vertical="center" textRotation="255" wrapText="1"/>
    </xf>
    <xf numFmtId="0" fontId="63" fillId="0" borderId="1" xfId="0" applyFont="1" applyBorder="1" applyAlignment="1">
      <alignment horizontal="left" vertical="center" wrapText="1"/>
    </xf>
    <xf numFmtId="0" fontId="63" fillId="0" borderId="31" xfId="0" applyFont="1" applyBorder="1" applyAlignment="1">
      <alignment vertical="center" wrapText="1"/>
    </xf>
    <xf numFmtId="0" fontId="63" fillId="0" borderId="38" xfId="0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10" fillId="4" borderId="0" xfId="0" applyFont="1" applyFill="1" applyAlignment="1">
      <alignment horizontal="center"/>
    </xf>
    <xf numFmtId="0" fontId="18" fillId="0" borderId="2" xfId="0" applyFont="1" applyBorder="1" applyAlignment="1">
      <alignment horizontal="center" vertical="justify" shrinkToFit="1"/>
    </xf>
    <xf numFmtId="0" fontId="18" fillId="0" borderId="3" xfId="0" applyFont="1" applyBorder="1" applyAlignment="1">
      <alignment horizontal="center" vertical="justify" shrinkToFit="1"/>
    </xf>
    <xf numFmtId="0" fontId="18" fillId="0" borderId="2" xfId="0" applyFont="1" applyBorder="1" applyAlignment="1">
      <alignment horizontal="left" vertical="justify" shrinkToFit="1"/>
    </xf>
    <xf numFmtId="0" fontId="18" fillId="0" borderId="3" xfId="0" applyFont="1" applyBorder="1" applyAlignment="1">
      <alignment horizontal="left" vertical="justify" shrinkToFit="1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21" fillId="0" borderId="0" xfId="0" applyFont="1" applyAlignment="1">
      <alignment horizontal="center" wrapText="1"/>
    </xf>
    <xf numFmtId="0" fontId="22" fillId="0" borderId="0" xfId="0" applyFont="1"/>
    <xf numFmtId="0" fontId="7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8" fillId="0" borderId="1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20" fillId="0" borderId="37" xfId="0" applyFont="1" applyBorder="1" applyAlignment="1">
      <alignment horizontal="center" vertical="center" textRotation="255" wrapText="1"/>
    </xf>
    <xf numFmtId="0" fontId="20" fillId="0" borderId="38" xfId="0" applyFont="1" applyBorder="1" applyAlignment="1">
      <alignment horizontal="center" vertical="center" textRotation="255" wrapText="1"/>
    </xf>
    <xf numFmtId="0" fontId="20" fillId="0" borderId="1" xfId="0" applyFont="1" applyBorder="1" applyAlignment="1">
      <alignment horizontal="center" vertical="center" textRotation="255" wrapText="1"/>
    </xf>
    <xf numFmtId="0" fontId="20" fillId="0" borderId="4" xfId="0" applyFont="1" applyBorder="1" applyAlignment="1">
      <alignment horizontal="center" vertical="center" textRotation="255" wrapText="1"/>
    </xf>
    <xf numFmtId="0" fontId="20" fillId="0" borderId="55" xfId="0" applyFont="1" applyBorder="1" applyAlignment="1">
      <alignment horizontal="center" vertical="center" textRotation="255" wrapText="1"/>
    </xf>
    <xf numFmtId="0" fontId="20" fillId="0" borderId="22" xfId="0" applyFont="1" applyBorder="1" applyAlignment="1">
      <alignment horizontal="center" vertical="center" textRotation="255" wrapText="1"/>
    </xf>
    <xf numFmtId="0" fontId="9" fillId="0" borderId="1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0" fontId="9" fillId="0" borderId="38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9" fillId="0" borderId="27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top" wrapText="1"/>
    </xf>
    <xf numFmtId="0" fontId="8" fillId="0" borderId="40" xfId="0" applyFont="1" applyBorder="1" applyAlignment="1">
      <alignment horizontal="center" vertical="top" wrapText="1"/>
    </xf>
    <xf numFmtId="0" fontId="8" fillId="0" borderId="36" xfId="0" applyFont="1" applyBorder="1" applyAlignment="1">
      <alignment horizontal="center" vertical="top" wrapText="1"/>
    </xf>
    <xf numFmtId="168" fontId="8" fillId="0" borderId="54" xfId="0" applyNumberFormat="1" applyFont="1" applyBorder="1" applyAlignment="1">
      <alignment horizontal="center" vertical="center"/>
    </xf>
    <xf numFmtId="168" fontId="8" fillId="0" borderId="18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top" wrapText="1"/>
    </xf>
    <xf numFmtId="168" fontId="8" fillId="0" borderId="2" xfId="0" applyNumberFormat="1" applyFont="1" applyBorder="1" applyAlignment="1">
      <alignment horizontal="center" vertical="center"/>
    </xf>
    <xf numFmtId="168" fontId="8" fillId="0" borderId="2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9" fillId="0" borderId="39" xfId="0" applyFont="1" applyBorder="1" applyAlignment="1">
      <alignment vertical="top" wrapText="1"/>
    </xf>
    <xf numFmtId="0" fontId="9" fillId="0" borderId="40" xfId="0" applyFont="1" applyBorder="1" applyAlignment="1">
      <alignment vertical="top" wrapText="1"/>
    </xf>
    <xf numFmtId="0" fontId="9" fillId="0" borderId="36" xfId="0" applyFont="1" applyBorder="1" applyAlignment="1">
      <alignment vertical="top" wrapText="1"/>
    </xf>
    <xf numFmtId="0" fontId="8" fillId="0" borderId="34" xfId="0" applyFont="1" applyBorder="1" applyAlignment="1">
      <alignment horizontal="center" vertical="top" wrapText="1"/>
    </xf>
    <xf numFmtId="0" fontId="9" fillId="0" borderId="34" xfId="0" applyFont="1" applyBorder="1" applyAlignment="1">
      <alignment horizontal="center" vertical="center" wrapText="1"/>
    </xf>
    <xf numFmtId="0" fontId="8" fillId="0" borderId="34" xfId="0" applyFont="1" applyBorder="1" applyAlignment="1">
      <alignment vertical="top" wrapText="1"/>
    </xf>
    <xf numFmtId="0" fontId="8" fillId="0" borderId="49" xfId="0" applyFont="1" applyBorder="1" applyAlignment="1">
      <alignment vertical="top" wrapText="1"/>
    </xf>
    <xf numFmtId="0" fontId="9" fillId="0" borderId="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/>
    </xf>
    <xf numFmtId="0" fontId="7" fillId="0" borderId="42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3" xfId="0" applyFont="1" applyBorder="1" applyAlignment="1">
      <alignment horizontal="left" vertical="top" wrapText="1"/>
    </xf>
    <xf numFmtId="0" fontId="7" fillId="0" borderId="4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26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9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45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8" fontId="8" fillId="0" borderId="35" xfId="0" applyNumberFormat="1" applyFont="1" applyBorder="1" applyAlignment="1">
      <alignment horizontal="center" vertical="center"/>
    </xf>
    <xf numFmtId="168" fontId="8" fillId="0" borderId="41" xfId="0" applyNumberFormat="1" applyFont="1" applyBorder="1" applyAlignment="1">
      <alignment horizontal="center" vertical="center"/>
    </xf>
    <xf numFmtId="1" fontId="8" fillId="0" borderId="3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9" xfId="0" applyFont="1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9" fillId="0" borderId="37" xfId="0" applyFont="1" applyBorder="1" applyAlignment="1">
      <alignment vertical="top" wrapText="1"/>
    </xf>
    <xf numFmtId="0" fontId="9" fillId="0" borderId="32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9" fillId="0" borderId="24" xfId="0" applyFont="1" applyBorder="1" applyAlignment="1">
      <alignment vertical="top" wrapText="1"/>
    </xf>
    <xf numFmtId="0" fontId="8" fillId="0" borderId="46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1" fontId="8" fillId="0" borderId="12" xfId="0" applyNumberFormat="1" applyFont="1" applyBorder="1" applyAlignment="1">
      <alignment horizontal="center" vertical="top" wrapText="1"/>
    </xf>
    <xf numFmtId="0" fontId="8" fillId="0" borderId="12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10" fontId="8" fillId="0" borderId="4" xfId="0" applyNumberFormat="1" applyFont="1" applyBorder="1" applyAlignment="1">
      <alignment horizontal="center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8" xfId="0" applyFont="1" applyBorder="1" applyAlignment="1">
      <alignment vertical="top" wrapText="1"/>
    </xf>
    <xf numFmtId="10" fontId="8" fillId="0" borderId="2" xfId="0" applyNumberFormat="1" applyFont="1" applyBorder="1" applyAlignment="1">
      <alignment horizontal="center" vertical="top" wrapText="1"/>
    </xf>
    <xf numFmtId="10" fontId="8" fillId="0" borderId="28" xfId="0" applyNumberFormat="1" applyFont="1" applyBorder="1" applyAlignment="1">
      <alignment horizontal="center" vertical="top" wrapText="1"/>
    </xf>
    <xf numFmtId="0" fontId="9" fillId="0" borderId="27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2" fontId="8" fillId="0" borderId="1" xfId="0" applyNumberFormat="1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16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3" fillId="0" borderId="1" xfId="0" applyFont="1" applyBorder="1" applyAlignment="1">
      <alignment horizontal="center"/>
    </xf>
    <xf numFmtId="0" fontId="63" fillId="0" borderId="6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3" fillId="0" borderId="3" xfId="0" applyFont="1" applyBorder="1" applyAlignment="1">
      <alignment horizontal="center"/>
    </xf>
    <xf numFmtId="0" fontId="62" fillId="0" borderId="0" xfId="0" applyFont="1" applyAlignment="1">
      <alignment horizontal="center"/>
    </xf>
    <xf numFmtId="0" fontId="63" fillId="0" borderId="1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65" fillId="0" borderId="0" xfId="0" applyFont="1" applyAlignment="1">
      <alignment horizontal="center"/>
    </xf>
    <xf numFmtId="0" fontId="63" fillId="0" borderId="27" xfId="0" applyFont="1" applyBorder="1" applyAlignment="1">
      <alignment horizontal="left" vertical="center" wrapText="1"/>
    </xf>
    <xf numFmtId="0" fontId="63" fillId="0" borderId="3" xfId="0" applyFont="1" applyBorder="1" applyAlignment="1">
      <alignment horizontal="left" vertical="center" wrapText="1"/>
    </xf>
    <xf numFmtId="0" fontId="63" fillId="0" borderId="27" xfId="0" applyFont="1" applyBorder="1" applyAlignment="1">
      <alignment horizontal="center" vertical="center" wrapText="1"/>
    </xf>
    <xf numFmtId="0" fontId="63" fillId="0" borderId="23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10" xfId="0" applyFont="1" applyBorder="1" applyAlignment="1">
      <alignment horizontal="left" vertical="center" wrapText="1"/>
    </xf>
    <xf numFmtId="0" fontId="63" fillId="0" borderId="50" xfId="0" applyFont="1" applyBorder="1" applyAlignment="1">
      <alignment horizontal="left" vertical="center" wrapText="1"/>
    </xf>
    <xf numFmtId="0" fontId="63" fillId="0" borderId="1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9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63" fillId="0" borderId="14" xfId="0" applyFont="1" applyBorder="1" applyAlignment="1">
      <alignment horizontal="left" vertical="center" wrapText="1"/>
    </xf>
    <xf numFmtId="0" fontId="63" fillId="0" borderId="28" xfId="0" applyFont="1" applyBorder="1" applyAlignment="1">
      <alignment horizontal="center"/>
    </xf>
    <xf numFmtId="0" fontId="63" fillId="0" borderId="23" xfId="0" applyFont="1" applyBorder="1" applyAlignment="1">
      <alignment horizontal="left" vertical="center" wrapText="1"/>
    </xf>
    <xf numFmtId="0" fontId="63" fillId="0" borderId="6" xfId="0" applyFont="1" applyBorder="1" applyAlignment="1">
      <alignment horizontal="center" vertical="center"/>
    </xf>
    <xf numFmtId="0" fontId="63" fillId="0" borderId="14" xfId="0" applyFont="1" applyBorder="1" applyAlignment="1">
      <alignment horizontal="center"/>
    </xf>
    <xf numFmtId="0" fontId="63" fillId="0" borderId="1" xfId="0" quotePrefix="1" applyFont="1" applyBorder="1" applyAlignment="1">
      <alignment horizontal="center"/>
    </xf>
    <xf numFmtId="0" fontId="13" fillId="0" borderId="39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63" fillId="0" borderId="2" xfId="0" applyFont="1" applyBorder="1" applyAlignment="1">
      <alignment horizontal="left" vertical="center" wrapText="1"/>
    </xf>
    <xf numFmtId="0" fontId="63" fillId="0" borderId="28" xfId="0" applyFont="1" applyBorder="1" applyAlignment="1">
      <alignment horizontal="left" vertical="center" wrapText="1"/>
    </xf>
    <xf numFmtId="0" fontId="63" fillId="0" borderId="20" xfId="0" applyFont="1" applyBorder="1" applyAlignment="1">
      <alignment horizontal="left" vertical="center" wrapText="1"/>
    </xf>
    <xf numFmtId="0" fontId="63" fillId="0" borderId="37" xfId="0" applyFont="1" applyBorder="1" applyAlignment="1">
      <alignment horizontal="left" vertical="center" wrapText="1"/>
    </xf>
    <xf numFmtId="1" fontId="63" fillId="0" borderId="23" xfId="0" applyNumberFormat="1" applyFont="1" applyBorder="1" applyAlignment="1">
      <alignment horizontal="left" vertical="center" wrapText="1"/>
    </xf>
    <xf numFmtId="1" fontId="63" fillId="0" borderId="3" xfId="0" applyNumberFormat="1" applyFont="1" applyBorder="1" applyAlignment="1">
      <alignment horizontal="left" vertical="center" wrapText="1"/>
    </xf>
    <xf numFmtId="0" fontId="63" fillId="0" borderId="25" xfId="0" applyFont="1" applyBorder="1" applyAlignment="1">
      <alignment horizontal="center" vertical="center" wrapText="1"/>
    </xf>
    <xf numFmtId="0" fontId="63" fillId="0" borderId="28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63" fillId="0" borderId="2" xfId="0" applyFont="1" applyBorder="1" applyAlignment="1">
      <alignment horizontal="center" vertical="center" wrapText="1"/>
    </xf>
    <xf numFmtId="0" fontId="63" fillId="0" borderId="29" xfId="0" applyFont="1" applyBorder="1" applyAlignment="1">
      <alignment horizontal="center" vertical="center" wrapText="1"/>
    </xf>
    <xf numFmtId="0" fontId="63" fillId="0" borderId="22" xfId="0" applyFont="1" applyBorder="1" applyAlignment="1">
      <alignment horizontal="center" vertical="center" wrapText="1"/>
    </xf>
    <xf numFmtId="0" fontId="63" fillId="0" borderId="3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63" fillId="0" borderId="15" xfId="0" applyFont="1" applyBorder="1" applyAlignment="1">
      <alignment horizontal="center" vertical="center" wrapText="1"/>
    </xf>
    <xf numFmtId="0" fontId="63" fillId="0" borderId="4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</cellXfs>
  <cellStyles count="3">
    <cellStyle name="Normal" xfId="0" builtinId="0"/>
    <cellStyle name="Normal 12" xfId="2" xr:uid="{2C002474-BD92-4BE0-A296-208E60FBB506}"/>
    <cellStyle name="Normal 2" xfId="1" xr:uid="{2419B7C5-D3E9-484A-8D49-6CEBBD77D1F7}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CFFFF"/>
      <color rgb="FF0080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_1" connectionId="2" xr16:uid="{00000000-0016-0000-00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_2" connectionId="3" xr16:uid="{00000000-0016-0000-00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90"/>
  <sheetViews>
    <sheetView topLeftCell="B1" workbookViewId="0">
      <selection activeCell="Q23" sqref="Q23"/>
    </sheetView>
  </sheetViews>
  <sheetFormatPr defaultRowHeight="12.75" x14ac:dyDescent="0.2"/>
  <cols>
    <col min="1" max="1" width="21.42578125" bestFit="1" customWidth="1"/>
    <col min="2" max="2" width="20.140625" bestFit="1" customWidth="1"/>
    <col min="3" max="5" width="22.28515625" bestFit="1" customWidth="1"/>
    <col min="6" max="6" width="2.28515625" bestFit="1" customWidth="1"/>
    <col min="7" max="7" width="19.28515625" bestFit="1" customWidth="1"/>
  </cols>
  <sheetData>
    <row r="1" spans="1:7" x14ac:dyDescent="0.2">
      <c r="A1" s="117" t="s">
        <v>996</v>
      </c>
      <c r="B1" s="117" t="s">
        <v>997</v>
      </c>
      <c r="C1" s="117" t="s">
        <v>998</v>
      </c>
    </row>
    <row r="3" spans="1:7" x14ac:dyDescent="0.2">
      <c r="A3" s="117" t="s">
        <v>539</v>
      </c>
      <c r="B3" s="117" t="s">
        <v>1008</v>
      </c>
      <c r="C3" s="117" t="s">
        <v>1009</v>
      </c>
      <c r="D3" s="117" t="s">
        <v>1010</v>
      </c>
      <c r="E3" s="117"/>
      <c r="F3" s="117"/>
      <c r="G3" s="117"/>
    </row>
    <row r="5" spans="1:7" x14ac:dyDescent="0.2">
      <c r="A5" s="117" t="s">
        <v>1033</v>
      </c>
      <c r="B5" s="117"/>
      <c r="C5" s="117" t="s">
        <v>426</v>
      </c>
      <c r="D5" s="117" t="s">
        <v>427</v>
      </c>
      <c r="E5" s="117" t="s">
        <v>895</v>
      </c>
      <c r="F5" s="117"/>
      <c r="G5" s="117" t="s">
        <v>1034</v>
      </c>
    </row>
    <row r="6" spans="1:7" x14ac:dyDescent="0.2">
      <c r="A6" s="117"/>
      <c r="B6" s="117"/>
      <c r="C6" s="117"/>
      <c r="D6" s="117"/>
      <c r="E6" s="117"/>
      <c r="F6" s="117"/>
    </row>
    <row r="7" spans="1:7" x14ac:dyDescent="0.2">
      <c r="A7" s="117" t="s">
        <v>1035</v>
      </c>
      <c r="B7" s="117" t="s">
        <v>376</v>
      </c>
      <c r="C7" s="117" t="s">
        <v>1036</v>
      </c>
      <c r="D7" s="117" t="s">
        <v>428</v>
      </c>
      <c r="E7" s="117" t="s">
        <v>1037</v>
      </c>
      <c r="G7" s="117"/>
    </row>
    <row r="8" spans="1:7" x14ac:dyDescent="0.2">
      <c r="A8" s="117" t="s">
        <v>1011</v>
      </c>
      <c r="B8" s="117" t="s">
        <v>429</v>
      </c>
      <c r="C8" s="117" t="s">
        <v>1038</v>
      </c>
      <c r="D8" s="117" t="s">
        <v>792</v>
      </c>
      <c r="E8" s="117" t="s">
        <v>1012</v>
      </c>
      <c r="F8" s="117"/>
      <c r="G8" s="117"/>
    </row>
    <row r="9" spans="1:7" x14ac:dyDescent="0.2">
      <c r="A9" s="117" t="s">
        <v>999</v>
      </c>
      <c r="B9" s="117" t="s">
        <v>793</v>
      </c>
      <c r="C9" s="117" t="s">
        <v>794</v>
      </c>
      <c r="D9" s="117" t="s">
        <v>1000</v>
      </c>
      <c r="E9" s="117" t="s">
        <v>528</v>
      </c>
      <c r="G9" s="117" t="s">
        <v>1013</v>
      </c>
    </row>
    <row r="10" spans="1:7" x14ac:dyDescent="0.2">
      <c r="A10" s="117" t="s">
        <v>986</v>
      </c>
      <c r="B10" s="117"/>
      <c r="C10" s="117"/>
      <c r="D10" s="117" t="s">
        <v>855</v>
      </c>
      <c r="E10" s="117" t="s">
        <v>528</v>
      </c>
      <c r="F10" s="117"/>
      <c r="G10" s="117" t="s">
        <v>1014</v>
      </c>
    </row>
    <row r="11" spans="1:7" x14ac:dyDescent="0.2">
      <c r="A11" s="117" t="s">
        <v>6</v>
      </c>
      <c r="B11" s="117" t="s">
        <v>430</v>
      </c>
      <c r="C11" s="117" t="s">
        <v>431</v>
      </c>
      <c r="D11" s="117" t="s">
        <v>432</v>
      </c>
      <c r="E11" s="117" t="s">
        <v>529</v>
      </c>
      <c r="F11" s="117"/>
      <c r="G11" s="117" t="s">
        <v>530</v>
      </c>
    </row>
    <row r="12" spans="1:7" x14ac:dyDescent="0.2">
      <c r="A12" s="117" t="s">
        <v>433</v>
      </c>
      <c r="B12" s="117" t="s">
        <v>1015</v>
      </c>
      <c r="C12" s="117" t="s">
        <v>434</v>
      </c>
      <c r="D12" s="117" t="s">
        <v>1039</v>
      </c>
      <c r="E12" s="117" t="s">
        <v>1040</v>
      </c>
      <c r="F12" s="117"/>
      <c r="G12" s="117" t="s">
        <v>1041</v>
      </c>
    </row>
    <row r="13" spans="1:7" x14ac:dyDescent="0.2">
      <c r="A13" s="117" t="s">
        <v>435</v>
      </c>
      <c r="B13" s="117" t="s">
        <v>989</v>
      </c>
      <c r="C13" s="117" t="s">
        <v>436</v>
      </c>
      <c r="D13" s="117" t="s">
        <v>1042</v>
      </c>
      <c r="E13" s="117" t="s">
        <v>1043</v>
      </c>
      <c r="F13" s="117"/>
      <c r="G13" s="117" t="s">
        <v>1044</v>
      </c>
    </row>
    <row r="14" spans="1:7" x14ac:dyDescent="0.2">
      <c r="A14" s="117" t="s">
        <v>437</v>
      </c>
      <c r="B14" s="117" t="s">
        <v>1045</v>
      </c>
      <c r="C14" s="117" t="s">
        <v>438</v>
      </c>
      <c r="D14" s="117" t="s">
        <v>1046</v>
      </c>
      <c r="E14" s="117" t="s">
        <v>1047</v>
      </c>
      <c r="G14" s="117" t="s">
        <v>1048</v>
      </c>
    </row>
    <row r="15" spans="1:7" x14ac:dyDescent="0.2">
      <c r="A15" s="117" t="s">
        <v>583</v>
      </c>
      <c r="B15" s="117" t="s">
        <v>1049</v>
      </c>
      <c r="C15" s="117" t="s">
        <v>439</v>
      </c>
      <c r="D15" s="117" t="s">
        <v>1050</v>
      </c>
      <c r="E15" s="117" t="s">
        <v>1001</v>
      </c>
      <c r="G15" s="117" t="s">
        <v>1051</v>
      </c>
    </row>
    <row r="16" spans="1:7" x14ac:dyDescent="0.2">
      <c r="A16" s="117" t="s">
        <v>440</v>
      </c>
      <c r="B16" s="117" t="s">
        <v>1052</v>
      </c>
      <c r="C16" s="117" t="s">
        <v>441</v>
      </c>
      <c r="D16" s="117" t="s">
        <v>1053</v>
      </c>
      <c r="E16" s="117" t="s">
        <v>1002</v>
      </c>
      <c r="G16" s="117" t="s">
        <v>555</v>
      </c>
    </row>
    <row r="17" spans="1:7" x14ac:dyDescent="0.2">
      <c r="A17" s="117" t="s">
        <v>442</v>
      </c>
      <c r="B17" s="117" t="s">
        <v>1054</v>
      </c>
      <c r="C17" s="117" t="s">
        <v>443</v>
      </c>
      <c r="D17" s="117" t="s">
        <v>1055</v>
      </c>
      <c r="E17" s="117" t="s">
        <v>554</v>
      </c>
      <c r="G17" s="117" t="s">
        <v>555</v>
      </c>
    </row>
    <row r="18" spans="1:7" x14ac:dyDescent="0.2">
      <c r="A18" s="117" t="s">
        <v>444</v>
      </c>
      <c r="B18" s="117" t="s">
        <v>1056</v>
      </c>
      <c r="C18" s="117" t="s">
        <v>445</v>
      </c>
      <c r="D18" s="117" t="s">
        <v>1057</v>
      </c>
      <c r="E18" s="117" t="s">
        <v>556</v>
      </c>
      <c r="G18" s="117" t="s">
        <v>555</v>
      </c>
    </row>
    <row r="19" spans="1:7" x14ac:dyDescent="0.2">
      <c r="A19" s="117" t="s">
        <v>446</v>
      </c>
      <c r="B19" s="117" t="s">
        <v>1058</v>
      </c>
      <c r="C19" s="117" t="s">
        <v>447</v>
      </c>
      <c r="D19" s="117" t="s">
        <v>1059</v>
      </c>
      <c r="E19" s="117" t="s">
        <v>557</v>
      </c>
      <c r="F19" s="117"/>
      <c r="G19" s="117" t="s">
        <v>555</v>
      </c>
    </row>
    <row r="20" spans="1:7" x14ac:dyDescent="0.2">
      <c r="A20" s="117" t="s">
        <v>448</v>
      </c>
      <c r="B20" s="117" t="s">
        <v>3</v>
      </c>
      <c r="C20" s="117" t="s">
        <v>449</v>
      </c>
      <c r="D20" s="117" t="s">
        <v>1060</v>
      </c>
      <c r="E20" s="117" t="s">
        <v>558</v>
      </c>
      <c r="F20" s="117"/>
      <c r="G20" s="117" t="s">
        <v>555</v>
      </c>
    </row>
    <row r="21" spans="1:7" x14ac:dyDescent="0.2">
      <c r="A21" s="117" t="s">
        <v>856</v>
      </c>
      <c r="B21" s="117" t="s">
        <v>1061</v>
      </c>
      <c r="C21" s="117" t="s">
        <v>857</v>
      </c>
      <c r="D21" s="117" t="s">
        <v>858</v>
      </c>
      <c r="E21" s="117" t="s">
        <v>859</v>
      </c>
      <c r="F21" s="117" t="s">
        <v>860</v>
      </c>
      <c r="G21" s="117" t="s">
        <v>861</v>
      </c>
    </row>
    <row r="22" spans="1:7" x14ac:dyDescent="0.2">
      <c r="A22" s="117" t="s">
        <v>862</v>
      </c>
      <c r="B22" s="117" t="s">
        <v>1062</v>
      </c>
      <c r="C22" s="117" t="s">
        <v>863</v>
      </c>
      <c r="D22" s="117" t="s">
        <v>1063</v>
      </c>
      <c r="E22" s="117"/>
      <c r="F22" s="117"/>
      <c r="G22" s="117"/>
    </row>
    <row r="23" spans="1:7" x14ac:dyDescent="0.2">
      <c r="A23" s="117" t="s">
        <v>6</v>
      </c>
      <c r="B23" s="117" t="s">
        <v>430</v>
      </c>
      <c r="C23" s="117" t="s">
        <v>4</v>
      </c>
      <c r="D23" s="117" t="s">
        <v>5</v>
      </c>
      <c r="E23" s="117" t="s">
        <v>2</v>
      </c>
      <c r="F23" s="117" t="s">
        <v>96</v>
      </c>
      <c r="G23" s="117" t="s">
        <v>430</v>
      </c>
    </row>
    <row r="24" spans="1:7" x14ac:dyDescent="0.2">
      <c r="A24" s="117" t="s">
        <v>450</v>
      </c>
      <c r="B24" s="117" t="s">
        <v>1016</v>
      </c>
      <c r="C24" s="117" t="s">
        <v>451</v>
      </c>
      <c r="D24" s="117" t="s">
        <v>1064</v>
      </c>
      <c r="E24" s="117" t="s">
        <v>1017</v>
      </c>
      <c r="F24" s="117" t="s">
        <v>157</v>
      </c>
      <c r="G24" s="117" t="s">
        <v>1065</v>
      </c>
    </row>
    <row r="25" spans="1:7" x14ac:dyDescent="0.2">
      <c r="A25" s="117" t="s">
        <v>452</v>
      </c>
      <c r="B25" s="117" t="s">
        <v>1066</v>
      </c>
      <c r="C25" s="117" t="s">
        <v>453</v>
      </c>
      <c r="D25" s="117" t="s">
        <v>1067</v>
      </c>
      <c r="E25" s="117" t="s">
        <v>1018</v>
      </c>
      <c r="F25" s="117" t="s">
        <v>157</v>
      </c>
      <c r="G25" s="117" t="s">
        <v>1068</v>
      </c>
    </row>
    <row r="26" spans="1:7" x14ac:dyDescent="0.2">
      <c r="A26" s="117" t="s">
        <v>454</v>
      </c>
      <c r="B26" s="117" t="s">
        <v>1069</v>
      </c>
      <c r="C26" s="117" t="s">
        <v>455</v>
      </c>
      <c r="D26" s="117" t="s">
        <v>1070</v>
      </c>
      <c r="E26" s="117" t="s">
        <v>7</v>
      </c>
      <c r="F26" s="117" t="s">
        <v>157</v>
      </c>
      <c r="G26" s="117" t="s">
        <v>1071</v>
      </c>
    </row>
    <row r="27" spans="1:7" x14ac:dyDescent="0.2">
      <c r="A27" s="117"/>
      <c r="B27" s="117"/>
      <c r="C27" s="117" t="s">
        <v>864</v>
      </c>
      <c r="D27" s="117" t="s">
        <v>1072</v>
      </c>
      <c r="E27" s="117"/>
      <c r="F27" s="117"/>
      <c r="G27" s="117"/>
    </row>
    <row r="28" spans="1:7" x14ac:dyDescent="0.2">
      <c r="A28" s="117" t="s">
        <v>584</v>
      </c>
      <c r="B28" s="117" t="s">
        <v>1019</v>
      </c>
      <c r="C28" s="117" t="s">
        <v>456</v>
      </c>
      <c r="D28" s="117" t="s">
        <v>1073</v>
      </c>
      <c r="E28" s="117" t="s">
        <v>8</v>
      </c>
      <c r="F28" s="117" t="s">
        <v>157</v>
      </c>
      <c r="G28" s="117" t="s">
        <v>1074</v>
      </c>
    </row>
    <row r="29" spans="1:7" x14ac:dyDescent="0.2">
      <c r="A29" s="117" t="s">
        <v>457</v>
      </c>
      <c r="B29" s="117" t="s">
        <v>1020</v>
      </c>
      <c r="C29" s="117" t="s">
        <v>458</v>
      </c>
      <c r="D29" s="117" t="s">
        <v>9</v>
      </c>
      <c r="E29" s="117" t="s">
        <v>10</v>
      </c>
      <c r="F29" s="117" t="s">
        <v>157</v>
      </c>
      <c r="G29" s="117" t="s">
        <v>1075</v>
      </c>
    </row>
    <row r="30" spans="1:7" x14ac:dyDescent="0.2">
      <c r="A30" s="117" t="s">
        <v>459</v>
      </c>
      <c r="B30" s="117" t="s">
        <v>1076</v>
      </c>
      <c r="C30" s="117" t="s">
        <v>460</v>
      </c>
      <c r="D30" s="117" t="s">
        <v>461</v>
      </c>
      <c r="E30" s="117"/>
      <c r="F30" s="117"/>
      <c r="G30" s="117"/>
    </row>
    <row r="31" spans="1:7" x14ac:dyDescent="0.2">
      <c r="A31" s="117" t="s">
        <v>462</v>
      </c>
      <c r="B31" s="117" t="s">
        <v>1077</v>
      </c>
      <c r="C31" s="117" t="s">
        <v>463</v>
      </c>
      <c r="D31" s="117" t="s">
        <v>1078</v>
      </c>
      <c r="E31" s="117" t="s">
        <v>11</v>
      </c>
      <c r="F31" s="117" t="s">
        <v>157</v>
      </c>
      <c r="G31" s="117" t="s">
        <v>1079</v>
      </c>
    </row>
    <row r="32" spans="1:7" x14ac:dyDescent="0.2">
      <c r="A32" s="117" t="s">
        <v>464</v>
      </c>
      <c r="B32" s="117" t="s">
        <v>1080</v>
      </c>
      <c r="C32" s="117" t="s">
        <v>465</v>
      </c>
      <c r="D32" s="117" t="s">
        <v>1078</v>
      </c>
      <c r="E32" s="117"/>
      <c r="F32" s="117"/>
      <c r="G32" s="117"/>
    </row>
    <row r="33" spans="1:7" x14ac:dyDescent="0.2">
      <c r="A33" s="117"/>
      <c r="B33" s="117"/>
      <c r="C33" s="117" t="s">
        <v>1021</v>
      </c>
      <c r="D33" s="117" t="s">
        <v>1022</v>
      </c>
      <c r="E33" s="117"/>
      <c r="F33" s="117"/>
      <c r="G33" s="117"/>
    </row>
    <row r="34" spans="1:7" x14ac:dyDescent="0.2">
      <c r="A34" s="117" t="s">
        <v>468</v>
      </c>
      <c r="B34" s="117" t="s">
        <v>1081</v>
      </c>
      <c r="C34" s="117" t="s">
        <v>469</v>
      </c>
      <c r="D34" s="117" t="s">
        <v>1082</v>
      </c>
      <c r="E34" s="117" t="s">
        <v>12</v>
      </c>
      <c r="F34" s="117" t="s">
        <v>157</v>
      </c>
      <c r="G34" s="117" t="s">
        <v>1083</v>
      </c>
    </row>
    <row r="35" spans="1:7" x14ac:dyDescent="0.2">
      <c r="A35" s="117" t="s">
        <v>820</v>
      </c>
      <c r="B35" s="117" t="s">
        <v>1084</v>
      </c>
      <c r="C35" s="117"/>
      <c r="D35" s="117"/>
      <c r="E35" s="117" t="s">
        <v>585</v>
      </c>
      <c r="F35" s="117" t="s">
        <v>157</v>
      </c>
      <c r="G35" s="117" t="s">
        <v>987</v>
      </c>
    </row>
    <row r="36" spans="1:7" x14ac:dyDescent="0.2">
      <c r="A36" s="117" t="s">
        <v>6</v>
      </c>
      <c r="B36" s="117" t="s">
        <v>430</v>
      </c>
      <c r="C36" s="117" t="s">
        <v>470</v>
      </c>
      <c r="D36" s="117" t="s">
        <v>5</v>
      </c>
      <c r="E36" s="117" t="s">
        <v>2</v>
      </c>
      <c r="F36" s="117" t="s">
        <v>96</v>
      </c>
      <c r="G36" s="117" t="s">
        <v>430</v>
      </c>
    </row>
    <row r="37" spans="1:7" x14ac:dyDescent="0.2">
      <c r="A37" s="117" t="s">
        <v>450</v>
      </c>
      <c r="B37" s="117" t="s">
        <v>13</v>
      </c>
      <c r="C37" s="117" t="s">
        <v>451</v>
      </c>
      <c r="D37" s="117" t="s">
        <v>1064</v>
      </c>
      <c r="E37" s="117" t="s">
        <v>14</v>
      </c>
      <c r="F37" s="117" t="s">
        <v>157</v>
      </c>
      <c r="G37" s="117" t="s">
        <v>1085</v>
      </c>
    </row>
    <row r="38" spans="1:7" x14ac:dyDescent="0.2">
      <c r="A38" s="117" t="s">
        <v>471</v>
      </c>
      <c r="B38" s="117" t="s">
        <v>938</v>
      </c>
      <c r="C38" s="117" t="s">
        <v>453</v>
      </c>
      <c r="D38" s="117" t="s">
        <v>1086</v>
      </c>
      <c r="E38" s="117" t="s">
        <v>16</v>
      </c>
      <c r="F38" s="117" t="s">
        <v>157</v>
      </c>
      <c r="G38" s="117" t="s">
        <v>1023</v>
      </c>
    </row>
    <row r="39" spans="1:7" x14ac:dyDescent="0.2">
      <c r="A39" s="117" t="s">
        <v>472</v>
      </c>
      <c r="B39" s="117" t="s">
        <v>1087</v>
      </c>
      <c r="C39" s="117" t="s">
        <v>455</v>
      </c>
      <c r="D39" s="117" t="s">
        <v>1088</v>
      </c>
      <c r="E39" s="117" t="s">
        <v>17</v>
      </c>
      <c r="F39" s="117" t="s">
        <v>157</v>
      </c>
      <c r="G39" s="117" t="s">
        <v>1024</v>
      </c>
    </row>
    <row r="40" spans="1:7" x14ac:dyDescent="0.2">
      <c r="A40" s="117" t="s">
        <v>584</v>
      </c>
      <c r="B40" s="117" t="s">
        <v>1089</v>
      </c>
      <c r="C40" s="117" t="s">
        <v>456</v>
      </c>
      <c r="D40" s="117" t="s">
        <v>1090</v>
      </c>
      <c r="E40" s="117" t="s">
        <v>18</v>
      </c>
      <c r="F40" s="117" t="s">
        <v>157</v>
      </c>
      <c r="G40" s="117" t="s">
        <v>1091</v>
      </c>
    </row>
    <row r="41" spans="1:7" x14ac:dyDescent="0.2">
      <c r="A41" s="117" t="s">
        <v>457</v>
      </c>
      <c r="B41" s="117" t="s">
        <v>1092</v>
      </c>
      <c r="C41" s="117" t="s">
        <v>473</v>
      </c>
      <c r="D41" s="117" t="s">
        <v>9</v>
      </c>
      <c r="E41" s="117" t="s">
        <v>8</v>
      </c>
      <c r="F41" s="117" t="s">
        <v>157</v>
      </c>
      <c r="G41" s="117" t="s">
        <v>1093</v>
      </c>
    </row>
    <row r="42" spans="1:7" x14ac:dyDescent="0.2">
      <c r="A42" s="117" t="s">
        <v>462</v>
      </c>
      <c r="B42" s="117" t="s">
        <v>1094</v>
      </c>
      <c r="C42" s="117" t="s">
        <v>467</v>
      </c>
      <c r="D42" s="117" t="s">
        <v>1095</v>
      </c>
      <c r="E42" s="117" t="s">
        <v>586</v>
      </c>
      <c r="F42" s="117" t="s">
        <v>157</v>
      </c>
      <c r="G42" s="117" t="s">
        <v>1096</v>
      </c>
    </row>
    <row r="43" spans="1:7" x14ac:dyDescent="0.2">
      <c r="A43" s="117" t="s">
        <v>587</v>
      </c>
      <c r="B43" s="117" t="s">
        <v>1097</v>
      </c>
      <c r="C43" s="117" t="s">
        <v>588</v>
      </c>
      <c r="D43" s="117" t="s">
        <v>1098</v>
      </c>
      <c r="E43" s="117" t="s">
        <v>589</v>
      </c>
      <c r="F43" s="117" t="s">
        <v>157</v>
      </c>
      <c r="G43" s="117" t="s">
        <v>1099</v>
      </c>
    </row>
    <row r="44" spans="1:7" x14ac:dyDescent="0.2">
      <c r="A44" s="117" t="s">
        <v>454</v>
      </c>
      <c r="B44" s="117" t="s">
        <v>1025</v>
      </c>
      <c r="C44" s="117" t="s">
        <v>474</v>
      </c>
      <c r="D44" s="117" t="s">
        <v>1003</v>
      </c>
      <c r="E44" s="117" t="s">
        <v>11</v>
      </c>
      <c r="F44" s="117" t="s">
        <v>157</v>
      </c>
      <c r="G44" s="117" t="s">
        <v>1100</v>
      </c>
    </row>
    <row r="45" spans="1:7" x14ac:dyDescent="0.2">
      <c r="A45" s="117" t="s">
        <v>466</v>
      </c>
      <c r="B45" s="117" t="s">
        <v>1101</v>
      </c>
      <c r="C45" s="117" t="s">
        <v>475</v>
      </c>
      <c r="D45" s="117" t="s">
        <v>378</v>
      </c>
      <c r="E45" s="117" t="s">
        <v>19</v>
      </c>
      <c r="F45" s="117" t="s">
        <v>157</v>
      </c>
      <c r="G45" s="117" t="s">
        <v>1102</v>
      </c>
    </row>
    <row r="46" spans="1:7" x14ac:dyDescent="0.2">
      <c r="A46" s="117" t="s">
        <v>468</v>
      </c>
      <c r="B46" s="117" t="s">
        <v>1103</v>
      </c>
      <c r="C46" s="117" t="s">
        <v>469</v>
      </c>
      <c r="D46" s="117" t="s">
        <v>1104</v>
      </c>
      <c r="E46" s="117" t="s">
        <v>12</v>
      </c>
      <c r="F46" s="117" t="s">
        <v>157</v>
      </c>
      <c r="G46" s="117" t="s">
        <v>1105</v>
      </c>
    </row>
    <row r="47" spans="1:7" x14ac:dyDescent="0.2">
      <c r="A47" s="117"/>
      <c r="B47" s="117"/>
      <c r="C47" s="117"/>
      <c r="D47" s="117"/>
      <c r="E47" s="117" t="s">
        <v>585</v>
      </c>
      <c r="F47" s="117" t="s">
        <v>157</v>
      </c>
      <c r="G47" s="117" t="s">
        <v>834</v>
      </c>
    </row>
    <row r="48" spans="1:7" x14ac:dyDescent="0.2">
      <c r="A48" s="117" t="s">
        <v>6</v>
      </c>
      <c r="B48" s="117" t="s">
        <v>430</v>
      </c>
      <c r="C48" s="117" t="s">
        <v>476</v>
      </c>
      <c r="D48" s="117" t="s">
        <v>477</v>
      </c>
      <c r="E48" s="117" t="s">
        <v>2</v>
      </c>
      <c r="F48" s="117" t="s">
        <v>96</v>
      </c>
      <c r="G48" s="117" t="s">
        <v>430</v>
      </c>
    </row>
    <row r="49" spans="1:7" x14ac:dyDescent="0.2">
      <c r="A49" s="117" t="s">
        <v>478</v>
      </c>
      <c r="B49" s="117" t="s">
        <v>1026</v>
      </c>
      <c r="C49" s="117" t="s">
        <v>479</v>
      </c>
      <c r="D49" s="117" t="s">
        <v>1027</v>
      </c>
      <c r="E49" s="117" t="s">
        <v>20</v>
      </c>
      <c r="F49" s="117" t="s">
        <v>157</v>
      </c>
      <c r="G49" s="117" t="s">
        <v>1028</v>
      </c>
    </row>
    <row r="50" spans="1:7" x14ac:dyDescent="0.2">
      <c r="A50" s="117" t="s">
        <v>480</v>
      </c>
      <c r="B50" s="117" t="s">
        <v>1106</v>
      </c>
      <c r="C50" s="117" t="s">
        <v>481</v>
      </c>
      <c r="D50" s="117" t="s">
        <v>1004</v>
      </c>
      <c r="E50" s="117" t="s">
        <v>21</v>
      </c>
      <c r="F50" s="117" t="s">
        <v>157</v>
      </c>
      <c r="G50" s="117" t="s">
        <v>1107</v>
      </c>
    </row>
    <row r="51" spans="1:7" x14ac:dyDescent="0.2">
      <c r="A51" s="117" t="s">
        <v>482</v>
      </c>
      <c r="B51" s="117" t="s">
        <v>1108</v>
      </c>
      <c r="C51" s="117" t="s">
        <v>483</v>
      </c>
      <c r="D51" s="117" t="s">
        <v>1109</v>
      </c>
      <c r="E51" s="117" t="s">
        <v>22</v>
      </c>
      <c r="F51" s="117" t="s">
        <v>157</v>
      </c>
      <c r="G51" s="117" t="s">
        <v>1110</v>
      </c>
    </row>
    <row r="52" spans="1:7" x14ac:dyDescent="0.2">
      <c r="A52" s="117" t="s">
        <v>484</v>
      </c>
      <c r="B52" s="117" t="s">
        <v>9</v>
      </c>
      <c r="C52" s="117"/>
      <c r="D52" s="117"/>
      <c r="E52" s="117"/>
      <c r="F52" s="117"/>
      <c r="G52" s="117"/>
    </row>
    <row r="53" spans="1:7" x14ac:dyDescent="0.2">
      <c r="A53" s="117" t="s">
        <v>268</v>
      </c>
      <c r="B53" s="117" t="s">
        <v>485</v>
      </c>
      <c r="C53" s="117" t="s">
        <v>6</v>
      </c>
      <c r="D53" s="117" t="s">
        <v>486</v>
      </c>
      <c r="E53" s="117" t="s">
        <v>540</v>
      </c>
      <c r="F53" s="117" t="s">
        <v>541</v>
      </c>
      <c r="G53" s="117" t="s">
        <v>6</v>
      </c>
    </row>
    <row r="54" spans="1:7" x14ac:dyDescent="0.2">
      <c r="A54" s="117" t="s">
        <v>487</v>
      </c>
      <c r="B54" s="117" t="s">
        <v>1005</v>
      </c>
      <c r="C54" s="117" t="s">
        <v>488</v>
      </c>
      <c r="D54" s="117" t="s">
        <v>1111</v>
      </c>
      <c r="E54" s="117" t="s">
        <v>23</v>
      </c>
      <c r="F54" s="117" t="s">
        <v>157</v>
      </c>
      <c r="G54" s="117" t="s">
        <v>1112</v>
      </c>
    </row>
    <row r="55" spans="1:7" x14ac:dyDescent="0.2">
      <c r="A55" s="117" t="s">
        <v>489</v>
      </c>
      <c r="B55" s="117" t="s">
        <v>1113</v>
      </c>
      <c r="C55" s="117" t="s">
        <v>490</v>
      </c>
      <c r="D55" s="117" t="s">
        <v>1114</v>
      </c>
      <c r="E55" s="117" t="s">
        <v>24</v>
      </c>
      <c r="F55" s="117" t="s">
        <v>157</v>
      </c>
      <c r="G55" s="117" t="s">
        <v>563</v>
      </c>
    </row>
    <row r="56" spans="1:7" x14ac:dyDescent="0.2">
      <c r="A56" s="117" t="s">
        <v>491</v>
      </c>
      <c r="B56" s="117" t="s">
        <v>892</v>
      </c>
      <c r="C56" s="117" t="s">
        <v>492</v>
      </c>
      <c r="D56" s="117" t="s">
        <v>1115</v>
      </c>
      <c r="E56" s="117" t="s">
        <v>25</v>
      </c>
      <c r="F56" s="117" t="s">
        <v>157</v>
      </c>
      <c r="G56" s="117" t="s">
        <v>1116</v>
      </c>
    </row>
    <row r="57" spans="1:7" x14ac:dyDescent="0.2">
      <c r="A57" s="117" t="s">
        <v>795</v>
      </c>
      <c r="B57" s="117" t="s">
        <v>1117</v>
      </c>
      <c r="C57" s="117" t="s">
        <v>493</v>
      </c>
      <c r="D57" s="117" t="s">
        <v>26</v>
      </c>
      <c r="E57" s="117" t="s">
        <v>27</v>
      </c>
      <c r="F57" s="117" t="s">
        <v>157</v>
      </c>
      <c r="G57" s="117" t="s">
        <v>1118</v>
      </c>
    </row>
    <row r="58" spans="1:7" x14ac:dyDescent="0.2">
      <c r="A58" s="117" t="s">
        <v>6</v>
      </c>
      <c r="B58" s="117" t="s">
        <v>430</v>
      </c>
      <c r="C58" s="117" t="s">
        <v>494</v>
      </c>
      <c r="D58" s="117" t="s">
        <v>796</v>
      </c>
      <c r="E58" s="117" t="s">
        <v>2</v>
      </c>
      <c r="F58" s="117" t="s">
        <v>96</v>
      </c>
      <c r="G58" s="117" t="s">
        <v>430</v>
      </c>
    </row>
    <row r="59" spans="1:7" x14ac:dyDescent="0.2">
      <c r="A59" s="117" t="s">
        <v>495</v>
      </c>
      <c r="B59" s="117" t="s">
        <v>1119</v>
      </c>
      <c r="C59" s="117"/>
      <c r="D59" s="117"/>
      <c r="E59" s="117" t="s">
        <v>28</v>
      </c>
      <c r="F59" s="117" t="s">
        <v>157</v>
      </c>
      <c r="G59" s="117" t="s">
        <v>1120</v>
      </c>
    </row>
    <row r="60" spans="1:7" x14ac:dyDescent="0.2">
      <c r="A60" s="117" t="s">
        <v>496</v>
      </c>
      <c r="B60" s="117" t="s">
        <v>1121</v>
      </c>
      <c r="C60" s="117" t="s">
        <v>497</v>
      </c>
      <c r="D60" s="117" t="s">
        <v>1122</v>
      </c>
      <c r="E60" s="117"/>
      <c r="F60" s="117"/>
      <c r="G60" s="117"/>
    </row>
    <row r="61" spans="1:7" x14ac:dyDescent="0.2">
      <c r="A61" s="117" t="s">
        <v>498</v>
      </c>
      <c r="B61" s="117" t="s">
        <v>1123</v>
      </c>
      <c r="C61" s="334" t="s">
        <v>865</v>
      </c>
      <c r="D61" s="117" t="s">
        <v>1124</v>
      </c>
      <c r="E61" s="117" t="s">
        <v>797</v>
      </c>
      <c r="F61" s="117" t="s">
        <v>157</v>
      </c>
      <c r="G61" s="117" t="s">
        <v>1029</v>
      </c>
    </row>
    <row r="62" spans="1:7" x14ac:dyDescent="0.2">
      <c r="A62" s="117" t="s">
        <v>499</v>
      </c>
      <c r="B62" s="117" t="s">
        <v>1030</v>
      </c>
      <c r="C62" s="117" t="s">
        <v>798</v>
      </c>
      <c r="D62" s="117" t="s">
        <v>1125</v>
      </c>
      <c r="E62" s="117" t="s">
        <v>799</v>
      </c>
      <c r="F62" s="117" t="s">
        <v>157</v>
      </c>
      <c r="G62" s="117" t="s">
        <v>1126</v>
      </c>
    </row>
    <row r="63" spans="1:7" x14ac:dyDescent="0.2">
      <c r="A63" s="117" t="s">
        <v>800</v>
      </c>
      <c r="B63" s="117" t="s">
        <v>1127</v>
      </c>
      <c r="C63" s="117" t="s">
        <v>801</v>
      </c>
      <c r="D63" s="117" t="s">
        <v>1128</v>
      </c>
      <c r="E63" s="117" t="s">
        <v>802</v>
      </c>
      <c r="F63" s="117" t="s">
        <v>157</v>
      </c>
      <c r="G63" s="117" t="s">
        <v>1129</v>
      </c>
    </row>
    <row r="64" spans="1:7" x14ac:dyDescent="0.2">
      <c r="A64" s="117" t="s">
        <v>500</v>
      </c>
      <c r="B64" s="117" t="s">
        <v>1130</v>
      </c>
      <c r="C64" s="117" t="s">
        <v>803</v>
      </c>
      <c r="D64" s="117" t="s">
        <v>866</v>
      </c>
      <c r="E64" s="117" t="s">
        <v>29</v>
      </c>
      <c r="F64" s="117" t="s">
        <v>157</v>
      </c>
      <c r="G64" s="117" t="s">
        <v>1131</v>
      </c>
    </row>
    <row r="65" spans="1:7" x14ac:dyDescent="0.2">
      <c r="A65" s="117" t="s">
        <v>6</v>
      </c>
      <c r="B65" s="117" t="s">
        <v>430</v>
      </c>
      <c r="C65" s="117" t="s">
        <v>501</v>
      </c>
      <c r="D65" s="117" t="s">
        <v>502</v>
      </c>
      <c r="E65" s="117" t="s">
        <v>2</v>
      </c>
      <c r="F65" s="117" t="s">
        <v>96</v>
      </c>
      <c r="G65" s="117" t="s">
        <v>430</v>
      </c>
    </row>
    <row r="66" spans="1:7" x14ac:dyDescent="0.2">
      <c r="A66" s="117" t="s">
        <v>503</v>
      </c>
      <c r="B66" s="117" t="s">
        <v>1132</v>
      </c>
      <c r="C66" s="117" t="s">
        <v>504</v>
      </c>
      <c r="D66" s="117" t="s">
        <v>1133</v>
      </c>
      <c r="E66" s="117" t="s">
        <v>30</v>
      </c>
      <c r="F66" s="117" t="s">
        <v>157</v>
      </c>
      <c r="G66" s="117" t="s">
        <v>750</v>
      </c>
    </row>
    <row r="67" spans="1:7" x14ac:dyDescent="0.2">
      <c r="A67" s="117" t="s">
        <v>505</v>
      </c>
      <c r="B67" s="117" t="s">
        <v>1134</v>
      </c>
      <c r="C67" s="117" t="s">
        <v>506</v>
      </c>
      <c r="D67" s="117" t="s">
        <v>1135</v>
      </c>
      <c r="E67" s="117" t="s">
        <v>31</v>
      </c>
      <c r="F67" s="117" t="s">
        <v>157</v>
      </c>
      <c r="G67" s="117" t="s">
        <v>1136</v>
      </c>
    </row>
    <row r="68" spans="1:7" x14ac:dyDescent="0.2">
      <c r="A68" s="117" t="s">
        <v>507</v>
      </c>
      <c r="B68" s="117" t="s">
        <v>1137</v>
      </c>
      <c r="C68" s="117" t="s">
        <v>508</v>
      </c>
      <c r="D68" s="117" t="s">
        <v>1138</v>
      </c>
      <c r="E68" s="117" t="s">
        <v>32</v>
      </c>
      <c r="F68" s="117" t="s">
        <v>157</v>
      </c>
      <c r="G68" s="117" t="s">
        <v>1136</v>
      </c>
    </row>
    <row r="69" spans="1:7" x14ac:dyDescent="0.2">
      <c r="A69" s="117" t="s">
        <v>509</v>
      </c>
      <c r="B69" s="117" t="s">
        <v>1139</v>
      </c>
      <c r="C69" s="117" t="s">
        <v>510</v>
      </c>
      <c r="D69" s="117" t="s">
        <v>1136</v>
      </c>
      <c r="E69" s="117" t="s">
        <v>33</v>
      </c>
      <c r="F69" s="117" t="s">
        <v>157</v>
      </c>
      <c r="G69" s="117" t="s">
        <v>1140</v>
      </c>
    </row>
    <row r="70" spans="1:7" x14ac:dyDescent="0.2">
      <c r="A70" s="117" t="s">
        <v>6</v>
      </c>
      <c r="B70" s="117" t="s">
        <v>430</v>
      </c>
      <c r="C70" s="117" t="s">
        <v>511</v>
      </c>
      <c r="D70" s="117" t="s">
        <v>512</v>
      </c>
      <c r="E70" s="117" t="s">
        <v>2</v>
      </c>
      <c r="F70" s="117" t="s">
        <v>96</v>
      </c>
      <c r="G70" s="117" t="s">
        <v>430</v>
      </c>
    </row>
    <row r="71" spans="1:7" x14ac:dyDescent="0.2">
      <c r="A71" s="117" t="s">
        <v>821</v>
      </c>
      <c r="B71" s="117" t="s">
        <v>1141</v>
      </c>
      <c r="C71" s="117" t="s">
        <v>822</v>
      </c>
      <c r="D71" s="117" t="s">
        <v>1142</v>
      </c>
      <c r="E71" s="117"/>
      <c r="F71" s="117"/>
      <c r="G71" s="117"/>
    </row>
    <row r="72" spans="1:7" x14ac:dyDescent="0.2">
      <c r="A72" s="117" t="s">
        <v>513</v>
      </c>
      <c r="B72" s="117" t="s">
        <v>1143</v>
      </c>
      <c r="C72" s="117" t="s">
        <v>514</v>
      </c>
      <c r="D72" s="117" t="s">
        <v>1144</v>
      </c>
      <c r="E72" s="117" t="s">
        <v>34</v>
      </c>
      <c r="F72" s="117" t="s">
        <v>157</v>
      </c>
      <c r="G72" s="117" t="s">
        <v>1145</v>
      </c>
    </row>
    <row r="73" spans="1:7" x14ac:dyDescent="0.2">
      <c r="A73" s="117" t="s">
        <v>515</v>
      </c>
      <c r="B73" s="117" t="s">
        <v>1146</v>
      </c>
      <c r="C73" s="117" t="s">
        <v>516</v>
      </c>
      <c r="D73" s="117" t="s">
        <v>1147</v>
      </c>
      <c r="E73" s="117" t="s">
        <v>379</v>
      </c>
      <c r="F73" s="117" t="s">
        <v>157</v>
      </c>
      <c r="G73" s="117" t="s">
        <v>1148</v>
      </c>
    </row>
    <row r="74" spans="1:7" x14ac:dyDescent="0.2">
      <c r="A74" s="117" t="s">
        <v>517</v>
      </c>
      <c r="B74" s="117" t="s">
        <v>1149</v>
      </c>
      <c r="C74" s="117" t="s">
        <v>518</v>
      </c>
      <c r="D74" s="117" t="s">
        <v>1150</v>
      </c>
      <c r="E74" s="117" t="s">
        <v>35</v>
      </c>
      <c r="F74" s="117" t="s">
        <v>157</v>
      </c>
      <c r="G74" s="117" t="s">
        <v>1151</v>
      </c>
    </row>
    <row r="75" spans="1:7" x14ac:dyDescent="0.2">
      <c r="A75" s="117"/>
      <c r="B75" s="117"/>
      <c r="C75" s="117" t="s">
        <v>519</v>
      </c>
      <c r="D75" s="117" t="s">
        <v>1152</v>
      </c>
      <c r="E75" s="117"/>
      <c r="F75" s="117"/>
      <c r="G75" s="117"/>
    </row>
    <row r="76" spans="1:7" x14ac:dyDescent="0.2">
      <c r="A76" s="117" t="s">
        <v>6</v>
      </c>
      <c r="B76" s="117" t="s">
        <v>430</v>
      </c>
      <c r="C76" s="117" t="s">
        <v>6</v>
      </c>
      <c r="D76" s="117" t="s">
        <v>430</v>
      </c>
      <c r="E76" s="117" t="s">
        <v>2</v>
      </c>
      <c r="F76" s="117" t="s">
        <v>96</v>
      </c>
      <c r="G76" s="117" t="s">
        <v>430</v>
      </c>
    </row>
    <row r="77" spans="1:7" x14ac:dyDescent="0.2">
      <c r="A77" s="117" t="s">
        <v>520</v>
      </c>
      <c r="B77" s="117" t="s">
        <v>521</v>
      </c>
      <c r="C77" s="117" t="s">
        <v>1153</v>
      </c>
      <c r="D77" s="117" t="s">
        <v>1154</v>
      </c>
      <c r="E77" s="117" t="s">
        <v>531</v>
      </c>
      <c r="F77" s="117" t="s">
        <v>377</v>
      </c>
      <c r="G77" s="117" t="s">
        <v>532</v>
      </c>
    </row>
    <row r="78" spans="1:7" x14ac:dyDescent="0.2">
      <c r="A78" s="117" t="s">
        <v>522</v>
      </c>
      <c r="B78" s="117" t="s">
        <v>523</v>
      </c>
      <c r="C78" s="117" t="s">
        <v>524</v>
      </c>
      <c r="D78" s="117" t="s">
        <v>548</v>
      </c>
      <c r="E78" s="117" t="s">
        <v>533</v>
      </c>
      <c r="F78" s="117" t="s">
        <v>407</v>
      </c>
      <c r="G78" s="117" t="s">
        <v>536</v>
      </c>
    </row>
    <row r="79" spans="1:7" x14ac:dyDescent="0.2">
      <c r="A79" s="117" t="s">
        <v>525</v>
      </c>
      <c r="B79" s="117" t="s">
        <v>526</v>
      </c>
      <c r="C79" s="117" t="s">
        <v>527</v>
      </c>
      <c r="D79" s="117" t="s">
        <v>1006</v>
      </c>
      <c r="E79" s="117" t="s">
        <v>534</v>
      </c>
      <c r="F79" s="117"/>
      <c r="G79" s="117" t="s">
        <v>535</v>
      </c>
    </row>
    <row r="80" spans="1:7" x14ac:dyDescent="0.2">
      <c r="A80" s="117" t="s">
        <v>590</v>
      </c>
      <c r="B80" s="117" t="s">
        <v>591</v>
      </c>
      <c r="C80" s="117" t="s">
        <v>592</v>
      </c>
      <c r="D80" s="117" t="s">
        <v>593</v>
      </c>
      <c r="E80" s="117"/>
      <c r="F80" s="117"/>
      <c r="G80" s="117"/>
    </row>
    <row r="81" spans="1:7" x14ac:dyDescent="0.2">
      <c r="A81" s="117" t="s">
        <v>590</v>
      </c>
      <c r="B81" s="117" t="s">
        <v>591</v>
      </c>
      <c r="C81" s="117" t="s">
        <v>592</v>
      </c>
      <c r="D81" s="117" t="s">
        <v>593</v>
      </c>
      <c r="E81" s="117"/>
      <c r="F81" s="117"/>
      <c r="G81" s="117"/>
    </row>
    <row r="82" spans="1:7" x14ac:dyDescent="0.2">
      <c r="A82" s="117"/>
      <c r="B82" s="117"/>
      <c r="C82" s="117"/>
      <c r="D82" s="117"/>
      <c r="E82" s="117"/>
      <c r="F82" s="117"/>
      <c r="G82" s="117"/>
    </row>
    <row r="83" spans="1:7" x14ac:dyDescent="0.2">
      <c r="A83" s="117" t="s">
        <v>594</v>
      </c>
      <c r="B83" s="117" t="s">
        <v>595</v>
      </c>
      <c r="C83" s="117" t="s">
        <v>1031</v>
      </c>
      <c r="D83" s="117" t="s">
        <v>1032</v>
      </c>
      <c r="E83" s="117"/>
      <c r="F83" s="117"/>
      <c r="G83" s="117"/>
    </row>
    <row r="84" spans="1:7" x14ac:dyDescent="0.2">
      <c r="A84" s="117" t="s">
        <v>596</v>
      </c>
      <c r="B84" s="117" t="s">
        <v>597</v>
      </c>
      <c r="C84" s="117" t="s">
        <v>867</v>
      </c>
      <c r="D84" s="117" t="s">
        <v>868</v>
      </c>
      <c r="E84" s="117"/>
      <c r="F84" s="117"/>
      <c r="G84" s="117"/>
    </row>
    <row r="85" spans="1:7" x14ac:dyDescent="0.2">
      <c r="A85" s="117"/>
      <c r="B85" s="117"/>
      <c r="C85" s="117"/>
      <c r="D85" s="117"/>
      <c r="E85" s="117"/>
      <c r="F85" s="117"/>
      <c r="G85" s="117"/>
    </row>
    <row r="86" spans="1:7" x14ac:dyDescent="0.2">
      <c r="A86" s="117" t="s">
        <v>846</v>
      </c>
      <c r="B86" s="117" t="s">
        <v>847</v>
      </c>
      <c r="C86" s="117"/>
      <c r="D86" s="117"/>
      <c r="E86" s="117"/>
      <c r="F86" s="117"/>
      <c r="G86" s="117"/>
    </row>
    <row r="87" spans="1:7" x14ac:dyDescent="0.2">
      <c r="A87" s="117"/>
      <c r="B87" s="117"/>
      <c r="C87" s="117"/>
      <c r="D87" s="117"/>
      <c r="E87" s="117"/>
      <c r="F87" s="117"/>
      <c r="G87" s="117"/>
    </row>
    <row r="88" spans="1:7" x14ac:dyDescent="0.2">
      <c r="A88" s="117" t="s">
        <v>823</v>
      </c>
      <c r="B88" s="117" t="s">
        <v>1155</v>
      </c>
      <c r="C88" s="117" t="s">
        <v>1156</v>
      </c>
      <c r="D88" s="117" t="s">
        <v>1157</v>
      </c>
      <c r="E88" s="117"/>
      <c r="F88" s="117"/>
      <c r="G88" s="117"/>
    </row>
    <row r="89" spans="1:7" x14ac:dyDescent="0.2">
      <c r="A89" s="117"/>
      <c r="B89" s="117"/>
      <c r="C89" s="117"/>
      <c r="D89" s="117"/>
      <c r="E89" s="117"/>
      <c r="F89" s="117"/>
      <c r="G89" s="117"/>
    </row>
    <row r="90" spans="1:7" x14ac:dyDescent="0.2">
      <c r="A90" s="117"/>
      <c r="B90" s="117"/>
      <c r="C90" s="117"/>
      <c r="D90" s="117"/>
      <c r="E90" s="117"/>
      <c r="F90" s="117"/>
      <c r="G90" s="117"/>
    </row>
  </sheetData>
  <pageMargins left="0.7" right="0.7" top="0.75" bottom="0.75" header="0.3" footer="0.3"/>
  <pageSetup paperSize="9" scale="65" fitToHeight="0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L132"/>
  <sheetViews>
    <sheetView topLeftCell="A33" workbookViewId="0">
      <selection activeCell="M116" sqref="M116"/>
    </sheetView>
  </sheetViews>
  <sheetFormatPr defaultRowHeight="12.75" x14ac:dyDescent="0.2"/>
  <cols>
    <col min="2" max="2" width="21.7109375" bestFit="1" customWidth="1"/>
    <col min="3" max="3" width="21.5703125" customWidth="1"/>
    <col min="4" max="4" width="21.85546875" customWidth="1"/>
    <col min="5" max="5" width="24" bestFit="1" customWidth="1"/>
    <col min="6" max="6" width="23" bestFit="1" customWidth="1"/>
    <col min="7" max="7" width="2.28515625" customWidth="1"/>
    <col min="8" max="8" width="20.5703125" customWidth="1"/>
    <col min="9" max="9" width="18.140625" customWidth="1"/>
  </cols>
  <sheetData>
    <row r="1" spans="1:12" x14ac:dyDescent="0.2">
      <c r="A1" s="28"/>
      <c r="B1" s="21" t="s">
        <v>178</v>
      </c>
      <c r="C1" s="21" t="s">
        <v>179</v>
      </c>
      <c r="D1" s="21" t="s">
        <v>180</v>
      </c>
      <c r="E1" s="21" t="s">
        <v>181</v>
      </c>
      <c r="F1" s="21"/>
      <c r="G1" s="21"/>
      <c r="H1" s="21"/>
    </row>
    <row r="2" spans="1:12" x14ac:dyDescent="0.2">
      <c r="B2" t="s">
        <v>170</v>
      </c>
      <c r="C2" s="117" t="s">
        <v>376</v>
      </c>
      <c r="D2">
        <f>MATCH(C2,'R'!B1:B70,0)</f>
        <v>7</v>
      </c>
      <c r="E2">
        <v>2</v>
      </c>
    </row>
    <row r="3" spans="1:12" x14ac:dyDescent="0.2">
      <c r="B3" t="s">
        <v>171</v>
      </c>
      <c r="C3" s="117" t="s">
        <v>432</v>
      </c>
      <c r="D3">
        <f>MATCH(C3,'R'!D2:D70,0)</f>
        <v>10</v>
      </c>
      <c r="E3">
        <v>4</v>
      </c>
    </row>
    <row r="4" spans="1:12" x14ac:dyDescent="0.2">
      <c r="B4" t="s">
        <v>59</v>
      </c>
      <c r="C4" s="117" t="s">
        <v>4</v>
      </c>
      <c r="D4">
        <f>MATCH(C4,'R'!C3:C70,0)</f>
        <v>21</v>
      </c>
      <c r="E4">
        <v>3</v>
      </c>
    </row>
    <row r="5" spans="1:12" x14ac:dyDescent="0.2">
      <c r="B5" t="s">
        <v>100</v>
      </c>
      <c r="C5" s="117" t="s">
        <v>470</v>
      </c>
      <c r="D5">
        <f>MATCH(C5,'R'!C4:C90,0)</f>
        <v>33</v>
      </c>
      <c r="E5">
        <v>3</v>
      </c>
    </row>
    <row r="6" spans="1:12" x14ac:dyDescent="0.2">
      <c r="B6" t="s">
        <v>172</v>
      </c>
      <c r="C6" s="117" t="s">
        <v>476</v>
      </c>
      <c r="D6">
        <f>MATCH(C6,'R'!C5:C91,0)</f>
        <v>44</v>
      </c>
      <c r="E6">
        <v>3</v>
      </c>
      <c r="I6" s="1"/>
    </row>
    <row r="7" spans="1:12" x14ac:dyDescent="0.2">
      <c r="B7" t="s">
        <v>173</v>
      </c>
      <c r="C7" s="117" t="s">
        <v>485</v>
      </c>
      <c r="D7">
        <f>MATCH(C7,'R'!B6:B92,0)</f>
        <v>48</v>
      </c>
      <c r="E7">
        <v>2</v>
      </c>
    </row>
    <row r="8" spans="1:12" x14ac:dyDescent="0.2">
      <c r="B8" t="s">
        <v>174</v>
      </c>
      <c r="C8" s="117" t="s">
        <v>494</v>
      </c>
      <c r="D8">
        <f>IF(ISERROR(MATCH(C8,'R'!C44:C90,0)),MATCH("DIMENSIONS, AND COO",'R'!C44:C90,0),MATCH(C8,'R'!C44:C90,0))</f>
        <v>15</v>
      </c>
      <c r="E8">
        <v>3</v>
      </c>
    </row>
    <row r="9" spans="1:12" x14ac:dyDescent="0.2">
      <c r="B9" t="s">
        <v>175</v>
      </c>
      <c r="C9" s="117" t="s">
        <v>502</v>
      </c>
      <c r="D9">
        <f>MATCH(C9,'R'!D8:D94,0)</f>
        <v>58</v>
      </c>
      <c r="E9">
        <v>4</v>
      </c>
    </row>
    <row r="10" spans="1:12" x14ac:dyDescent="0.2">
      <c r="B10" t="s">
        <v>176</v>
      </c>
      <c r="C10" s="117" t="s">
        <v>512</v>
      </c>
      <c r="D10">
        <f>MATCH(C10,'R'!D9:D95,0)</f>
        <v>62</v>
      </c>
      <c r="E10">
        <v>4</v>
      </c>
    </row>
    <row r="11" spans="1:12" x14ac:dyDescent="0.2">
      <c r="B11" t="s">
        <v>177</v>
      </c>
      <c r="C11" s="117" t="s">
        <v>430</v>
      </c>
      <c r="D11">
        <f>MATCH(C11,'R'!D10:D96,0)</f>
        <v>67</v>
      </c>
      <c r="E11">
        <v>4</v>
      </c>
      <c r="I11" s="1"/>
    </row>
    <row r="12" spans="1:12" x14ac:dyDescent="0.2">
      <c r="A12" s="33"/>
      <c r="B12" s="33"/>
      <c r="C12" s="33"/>
      <c r="D12" s="33"/>
      <c r="E12" s="33"/>
      <c r="F12" s="33"/>
      <c r="G12" s="33"/>
      <c r="H12" s="33"/>
      <c r="I12" s="1"/>
    </row>
    <row r="13" spans="1:12" x14ac:dyDescent="0.2">
      <c r="A13" s="35" t="str">
        <f>B2</f>
        <v>Start</v>
      </c>
      <c r="B13" s="34">
        <v>0</v>
      </c>
      <c r="C13" s="34">
        <f t="shared" ref="C13:H13" si="0">B13+1</f>
        <v>1</v>
      </c>
      <c r="D13" s="34">
        <f t="shared" si="0"/>
        <v>2</v>
      </c>
      <c r="E13" s="34">
        <f t="shared" si="0"/>
        <v>3</v>
      </c>
      <c r="F13" s="34">
        <f t="shared" si="0"/>
        <v>4</v>
      </c>
      <c r="G13" s="34">
        <f t="shared" si="0"/>
        <v>5</v>
      </c>
      <c r="H13" s="34">
        <f t="shared" si="0"/>
        <v>6</v>
      </c>
      <c r="I13" s="1"/>
    </row>
    <row r="14" spans="1:12" x14ac:dyDescent="0.2">
      <c r="A14">
        <v>-2</v>
      </c>
      <c r="B14">
        <f ca="1">OFFSET('R'!$A$1,P!$D$2+$A14-2,B$13)</f>
        <v>0</v>
      </c>
      <c r="C14">
        <f ca="1">OFFSET('R'!$A$1,P!$D$2+$A14-2,C$13)</f>
        <v>0</v>
      </c>
      <c r="D14">
        <f ca="1">OFFSET('R'!$A$1,P!$D$2+$A14-2,D$13)</f>
        <v>0</v>
      </c>
      <c r="E14">
        <f ca="1">OFFSET('R'!$A$1,P!$D$2+$A14-2,E$13)</f>
        <v>0</v>
      </c>
      <c r="F14">
        <f ca="1">OFFSET('R'!$A$1,P!$D$2+$A14-2,F$13)</f>
        <v>0</v>
      </c>
      <c r="G14">
        <f ca="1">OFFSET('R'!$A$1,P!$D$2+$A14-2,G$13)</f>
        <v>0</v>
      </c>
      <c r="H14">
        <f ca="1">OFFSET('R'!$A$1,P!$D$2+$A14-2,H$13)</f>
        <v>0</v>
      </c>
    </row>
    <row r="15" spans="1:12" x14ac:dyDescent="0.2">
      <c r="A15">
        <v>-1</v>
      </c>
      <c r="B15" t="str">
        <f ca="1">OFFSET('R'!$A$1,P!$D$2+$A15-2,B$13)</f>
        <v>TE: 2022.09.15</v>
      </c>
      <c r="C15">
        <f ca="1">OFFSET('R'!$A$1,P!$D$2+$A15-2,C$13)</f>
        <v>0</v>
      </c>
      <c r="D15" t="str">
        <f ca="1">OFFSET('R'!$A$1,P!$D$2+$A15-2,D$13)</f>
        <v>IQUID TYPE TRANSFOR</v>
      </c>
      <c r="E15" t="str">
        <f ca="1">OFFSET('R'!$A$1,P!$D$2+$A15-2,E$13)</f>
        <v>MER CALCULATION (Ver</v>
      </c>
      <c r="F15" t="str">
        <f ca="1">OFFSET('R'!$A$1,P!$D$2+$A15-2,F$13)</f>
        <v>n 6.10.0)</v>
      </c>
      <c r="G15">
        <f ca="1">OFFSET('R'!$A$1,P!$D$2+$A15-2,G$13)</f>
        <v>0</v>
      </c>
      <c r="H15" t="str">
        <f ca="1">OFFSET('R'!$A$1,P!$D$2+$A15-2,H$13)</f>
        <v>Time: 08:16:38</v>
      </c>
      <c r="L15" s="117"/>
    </row>
    <row r="16" spans="1:12" x14ac:dyDescent="0.2">
      <c r="A16">
        <f t="shared" ref="A16:A22" si="1">A15+1</f>
        <v>0</v>
      </c>
      <c r="B16">
        <f ca="1">OFFSET('R'!$A$1,P!$D$2+$A16-2,B$13)</f>
        <v>0</v>
      </c>
      <c r="C16">
        <f ca="1">OFFSET('R'!$A$1,P!$D$2+$A16-2,C$13)</f>
        <v>0</v>
      </c>
      <c r="D16">
        <f ca="1">OFFSET('R'!$A$1,P!$D$2+$A16-2,D$13)</f>
        <v>0</v>
      </c>
      <c r="E16">
        <f ca="1">OFFSET('R'!$A$1,P!$D$2+$A16-2,E$13)</f>
        <v>0</v>
      </c>
      <c r="F16">
        <f ca="1">OFFSET('R'!$A$1,P!$D$2+$A16-2,F$13)</f>
        <v>0</v>
      </c>
      <c r="G16">
        <f ca="1">OFFSET('R'!$A$1,P!$D$2+$A16-2,G$13)</f>
        <v>0</v>
      </c>
      <c r="H16">
        <f ca="1">OFFSET('R'!$A$1,P!$D$2+$A16-2,H$13)</f>
        <v>0</v>
      </c>
    </row>
    <row r="17" spans="1:10" x14ac:dyDescent="0.2">
      <c r="A17">
        <f t="shared" si="1"/>
        <v>1</v>
      </c>
      <c r="B17" t="str">
        <f ca="1">OFFSET('R'!$A$1,P!$D$2+$A17-2,B$13)</f>
        <v>DER : 10033OVL</v>
      </c>
      <c r="C17" t="str">
        <f ca="1">OFFSET('R'!$A$1,P!$D$2+$A17-2,C$13)</f>
        <v>DESIGN: Data Set 1</v>
      </c>
      <c r="D17" t="str">
        <f ca="1">OFFSET('R'!$A$1,P!$D$2+$A17-2,D$13)</f>
        <v>ENGINEER: LASINDU</v>
      </c>
      <c r="E17" t="str">
        <f ca="1">OFFSET('R'!$A$1,P!$D$2+$A17-2,E$13)</f>
        <v>CUSTOMER NAME</v>
      </c>
      <c r="F17" t="str">
        <f ca="1">OFFSET('R'!$A$1,P!$D$2+$A17-2,F$13)</f>
        <v>EU</v>
      </c>
      <c r="G17">
        <f ca="1">OFFSET('R'!$A$1,P!$D$2+$A17-2,G$13)</f>
        <v>0</v>
      </c>
      <c r="H17">
        <f ca="1">OFFSET('R'!$A$1,P!$D$2+$A17-2,H$13)</f>
        <v>0</v>
      </c>
    </row>
    <row r="18" spans="1:10" x14ac:dyDescent="0.2">
      <c r="A18">
        <f t="shared" si="1"/>
        <v>2</v>
      </c>
      <c r="B18" t="str">
        <f ca="1">OFFSET('R'!$A$1,P!$D$2+$A18-2,B$13)</f>
        <v>A -    100  Liquid</v>
      </c>
      <c r="C18" t="str">
        <f ca="1">OFFSET('R'!$A$1,P!$D$2+$A18-2,C$13)</f>
        <v>Type      ONAN Cooli</v>
      </c>
      <c r="D18" t="str">
        <f ca="1">OFFSET('R'!$A$1,P!$D$2+$A18-2,D$13)</f>
        <v>60 C Rise     Th</v>
      </c>
      <c r="E18" t="str">
        <f ca="1">OFFSET('R'!$A$1,P!$D$2+$A18-2,E$13)</f>
        <v>ree Phase     50 Hz</v>
      </c>
      <c r="F18" t="str">
        <f ca="1">OFFSET('R'!$A$1,P!$D$2+$A18-2,F$13)</f>
        <v>Style Number:</v>
      </c>
      <c r="G18">
        <f ca="1">OFFSET('R'!$A$1,P!$D$2+$A18-2,G$13)</f>
        <v>0</v>
      </c>
      <c r="H18">
        <f ca="1">OFFSET('R'!$A$1,P!$D$2+$A18-2,H$13)</f>
        <v>0</v>
      </c>
    </row>
    <row r="19" spans="1:10" x14ac:dyDescent="0.2">
      <c r="A19">
        <f t="shared" si="1"/>
        <v>3</v>
      </c>
      <c r="B19" t="str">
        <f ca="1">OFFSET('R'!$A$1,P!$D$2+$A19-2,B$13)</f>
        <v>: 33000 + 2- 2x 2.</v>
      </c>
      <c r="C19" t="str">
        <f ca="1">OFFSET('R'!$A$1,P!$D$2+$A19-2,C$13)</f>
        <v>50 %  TC: Off-load T</v>
      </c>
      <c r="D19" t="str">
        <f ca="1">OFFSET('R'!$A$1,P!$D$2+$A19-2,D$13)</f>
        <v>Changer</v>
      </c>
      <c r="E19" t="str">
        <f ca="1">OFFSET('R'!$A$1,P!$D$2+$A19-2,E$13)</f>
        <v>BIL: 170 (Delt</v>
      </c>
      <c r="F19" t="str">
        <f ca="1">OFFSET('R'!$A$1,P!$D$2+$A19-2,F$13)</f>
        <v>Line/Coil Amps:</v>
      </c>
      <c r="G19">
        <f ca="1">OFFSET('R'!$A$1,P!$D$2+$A19-2,G$13)</f>
        <v>0</v>
      </c>
      <c r="H19" t="str">
        <f ca="1">OFFSET('R'!$A$1,P!$D$2+$A19-2,H$13)</f>
        <v>1.750/   1.010</v>
      </c>
    </row>
    <row r="20" spans="1:10" x14ac:dyDescent="0.2">
      <c r="A20">
        <f t="shared" si="1"/>
        <v>4</v>
      </c>
      <c r="B20" t="str">
        <f ca="1">OFFSET('R'!$A$1,P!$D$2+$A20-2,B$13)</f>
        <v>:   400</v>
      </c>
      <c r="C20">
        <f ca="1">OFFSET('R'!$A$1,P!$D$2+$A20-2,C$13)</f>
        <v>0</v>
      </c>
      <c r="D20">
        <f ca="1">OFFSET('R'!$A$1,P!$D$2+$A20-2,D$13)</f>
        <v>0</v>
      </c>
      <c r="E20" t="str">
        <f ca="1">OFFSET('R'!$A$1,P!$D$2+$A20-2,E$13)</f>
        <v>BIL:   3  (Wye</v>
      </c>
      <c r="F20" t="str">
        <f ca="1">OFFSET('R'!$A$1,P!$D$2+$A20-2,F$13)</f>
        <v>Line/Coil Amps:</v>
      </c>
      <c r="G20">
        <f ca="1">OFFSET('R'!$A$1,P!$D$2+$A20-2,G$13)</f>
        <v>0</v>
      </c>
      <c r="H20" t="str">
        <f ca="1">OFFSET('R'!$A$1,P!$D$2+$A20-2,H$13)</f>
        <v>144.338/ 144.338</v>
      </c>
      <c r="I20" s="1"/>
    </row>
    <row r="21" spans="1:10" x14ac:dyDescent="0.2">
      <c r="A21">
        <f t="shared" si="1"/>
        <v>5</v>
      </c>
      <c r="B21" t="str">
        <f ca="1">OFFSET('R'!$A$1,P!$D$2+$A21-2,B$13)</f>
        <v>-------------------</v>
      </c>
      <c r="C21" t="str">
        <f ca="1">OFFSET('R'!$A$1,P!$D$2+$A21-2,C$13)</f>
        <v>--------------------</v>
      </c>
      <c r="D21" t="str">
        <f ca="1">OFFSET('R'!$A$1,P!$D$2+$A21-2,D$13)</f>
        <v>----- S T A C K E D</v>
      </c>
      <c r="E21" t="str">
        <f ca="1">OFFSET('R'!$A$1,P!$D$2+$A21-2,E$13)</f>
        <v>C O R E --------</v>
      </c>
      <c r="F21" t="str">
        <f ca="1">OFFSET('R'!$A$1,P!$D$2+$A21-2,F$13)</f>
        <v>--------- Width --</v>
      </c>
      <c r="G21">
        <f ca="1">OFFSET('R'!$A$1,P!$D$2+$A21-2,G$13)</f>
        <v>0</v>
      </c>
      <c r="H21" t="str">
        <f ca="1">OFFSET('R'!$A$1,P!$D$2+$A21-2,H$13)</f>
        <v>Build ----- Weight -</v>
      </c>
      <c r="I21" s="1"/>
    </row>
    <row r="22" spans="1:10" x14ac:dyDescent="0.2">
      <c r="A22">
        <f t="shared" si="1"/>
        <v>6</v>
      </c>
      <c r="B22" t="str">
        <f ca="1">OFFSET('R'!$A$1,P!$D$2+$A22-2,B$13)</f>
        <v>Core Design.......:</v>
      </c>
      <c r="C22" t="str">
        <f ca="1">OFFSET('R'!$A$1,P!$D$2+$A22-2,C$13)</f>
        <v>OVAL-IY  Mitered</v>
      </c>
      <c r="D22" t="str">
        <f ca="1">OFFSET('R'!$A$1,P!$D$2+$A22-2,D$13)</f>
        <v>Diagonal Dimension:</v>
      </c>
      <c r="E22" t="str">
        <f ca="1">OFFSET('R'!$A$1,P!$D$2+$A22-2,E$13)</f>
        <v>130.000 x 202.490 mm</v>
      </c>
      <c r="F22" t="str">
        <f ca="1">OFFSET('R'!$A$1,P!$D$2+$A22-2,F$13)</f>
        <v>Step 1:  130.000,</v>
      </c>
      <c r="G22">
        <f ca="1">OFFSET('R'!$A$1,P!$D$2+$A22-2,G$13)</f>
        <v>0</v>
      </c>
      <c r="H22" t="str">
        <f ca="1">OFFSET('R'!$A$1,P!$D$2+$A22-2,H$13)</f>
        <v>72.490 mm   156.8 kg</v>
      </c>
    </row>
    <row r="23" spans="1:10" x14ac:dyDescent="0.2">
      <c r="A23" s="35" t="str">
        <f>B3</f>
        <v>Core</v>
      </c>
      <c r="B23" s="33"/>
      <c r="C23" s="33"/>
      <c r="D23" s="33"/>
      <c r="E23" s="33"/>
      <c r="F23" s="33"/>
      <c r="G23" s="33"/>
      <c r="H23" s="33"/>
      <c r="I23" s="1"/>
    </row>
    <row r="24" spans="1:10" x14ac:dyDescent="0.2">
      <c r="A24">
        <v>0</v>
      </c>
      <c r="B24" t="str">
        <f ca="1">OFFSET('R'!$A$1,P!$D$3+$A24,B$13)</f>
        <v>-------------------</v>
      </c>
      <c r="C24" t="str">
        <f ca="1">OFFSET('R'!$A$1,P!$D$3+$A24,C$13)</f>
        <v>--------------------</v>
      </c>
      <c r="D24" t="str">
        <f ca="1">OFFSET('R'!$A$1,P!$D$3+$A24,D$13)</f>
        <v>----- S T A C K E D</v>
      </c>
      <c r="E24" t="str">
        <f ca="1">OFFSET('R'!$A$1,P!$D$3+$A24,E$13)</f>
        <v>C O R E --------</v>
      </c>
      <c r="F24" t="str">
        <f ca="1">OFFSET('R'!$A$1,P!$D$3+$A24,F$13)</f>
        <v>--------- Width --</v>
      </c>
      <c r="G24">
        <f ca="1">OFFSET('R'!$A$1,P!$D$3+$A24,G$13)</f>
        <v>0</v>
      </c>
      <c r="H24" t="str">
        <f ca="1">OFFSET('R'!$A$1,P!$D$3+$A24,H$13)</f>
        <v>Build ----- Weight -</v>
      </c>
    </row>
    <row r="25" spans="1:10" x14ac:dyDescent="0.2">
      <c r="A25">
        <f>A24+1</f>
        <v>1</v>
      </c>
      <c r="B25" t="str">
        <f ca="1">OFFSET('R'!$A$1,P!$D$3+$A25,B$13)</f>
        <v>Core Design.......:</v>
      </c>
      <c r="C25" t="str">
        <f ca="1">OFFSET('R'!$A$1,P!$D$3+$A25,C$13)</f>
        <v>OVAL-IY  Mitered</v>
      </c>
      <c r="D25" t="str">
        <f ca="1">OFFSET('R'!$A$1,P!$D$3+$A25,D$13)</f>
        <v>Diagonal Dimension:</v>
      </c>
      <c r="E25" t="str">
        <f ca="1">OFFSET('R'!$A$1,P!$D$3+$A25,E$13)</f>
        <v>130.000 x 202.490 mm</v>
      </c>
      <c r="F25" t="str">
        <f ca="1">OFFSET('R'!$A$1,P!$D$3+$A25,F$13)</f>
        <v>Step 1:  130.000,</v>
      </c>
      <c r="G25">
        <f ca="1">OFFSET('R'!$A$1,P!$D$3+$A25,G$13)</f>
        <v>0</v>
      </c>
      <c r="H25" t="str">
        <f ca="1">OFFSET('R'!$A$1,P!$D$3+$A25,H$13)</f>
        <v>72.490 mm   156.8 kg</v>
      </c>
      <c r="I25" s="1"/>
    </row>
    <row r="26" spans="1:10" x14ac:dyDescent="0.2">
      <c r="A26">
        <f>A25+1</f>
        <v>2</v>
      </c>
      <c r="B26" t="str">
        <f ca="1">OFFSET('R'!$A$1,P!$D$3+$A26,B$13)</f>
        <v>Grade/Frame Type..:</v>
      </c>
      <c r="C26" t="str">
        <f ca="1">OFFSET('R'!$A$1,P!$D$3+$A26,C$13)</f>
        <v>23ZDKH / 3-Leg</v>
      </c>
      <c r="D26" t="str">
        <f ca="1">OFFSET('R'!$A$1,P!$D$3+$A26,D$13)</f>
        <v>Window Height.....:</v>
      </c>
      <c r="E26" t="str">
        <f ca="1">OFFSET('R'!$A$1,P!$D$3+$A26,E$13)</f>
        <v>232.000 mm</v>
      </c>
      <c r="F26" t="str">
        <f ca="1">OFFSET('R'!$A$1,P!$D$3+$A26,F$13)</f>
        <v>Step 2:  120.000,</v>
      </c>
      <c r="G26">
        <f ca="1">OFFSET('R'!$A$1,P!$D$3+$A26,G$13)</f>
        <v>0</v>
      </c>
      <c r="H26" t="str">
        <f ca="1">OFFSET('R'!$A$1,P!$D$3+$A26,H$13)</f>
        <v>50.370 mm    99.2 kg</v>
      </c>
      <c r="I26" s="1"/>
      <c r="J26" s="5"/>
    </row>
    <row r="27" spans="1:10" x14ac:dyDescent="0.2">
      <c r="A27">
        <f>A26+1</f>
        <v>3</v>
      </c>
      <c r="B27" t="str">
        <f ca="1">OFFSET('R'!$A$1,P!$D$3+$A27,B$13)</f>
        <v>INDUCTION.........:</v>
      </c>
      <c r="C27" t="str">
        <f ca="1">OFFSET('R'!$A$1,P!$D$3+$A27,C$13)</f>
        <v>1.450 Tesla</v>
      </c>
      <c r="D27" t="str">
        <f ca="1">OFFSET('R'!$A$1,P!$D$3+$A27,D$13)</f>
        <v>Center to Center..:</v>
      </c>
      <c r="E27" t="str">
        <f ca="1">OFFSET('R'!$A$1,P!$D$3+$A27,E$13)</f>
        <v>293.182 mm</v>
      </c>
      <c r="F27" t="str">
        <f ca="1">OFFSET('R'!$A$1,P!$D$3+$A27,F$13)</f>
        <v>Step 3:  100.000,</v>
      </c>
      <c r="G27">
        <f ca="1">OFFSET('R'!$A$1,P!$D$3+$A27,G$13)</f>
        <v>0</v>
      </c>
      <c r="H27" t="str">
        <f ca="1">OFFSET('R'!$A$1,P!$D$3+$A27,H$13)</f>
        <v>32.890 mm    52.5 kg</v>
      </c>
      <c r="I27" s="1"/>
    </row>
    <row r="28" spans="1:10" x14ac:dyDescent="0.2">
      <c r="A28">
        <f>A27+1</f>
        <v>4</v>
      </c>
      <c r="B28" t="str">
        <f ca="1">OFFSET('R'!$A$1,P!$D$3+$A28,B$13)</f>
        <v>VPT, W/kg, PBase..:</v>
      </c>
      <c r="C28" t="str">
        <f ca="1">OFFSET('R'!$A$1,P!$D$3+$A28,C$13)</f>
        <v>6.415, 0.704, 0.53</v>
      </c>
      <c r="D28" t="str">
        <f ca="1">OFFSET('R'!$A$1,P!$D$3+$A28,D$13)</f>
        <v>Gross/Net CSA.....:</v>
      </c>
      <c r="E28" t="str">
        <f ca="1">OFFSET('R'!$A$1,P!$D$3+$A28,E$13)</f>
        <v>206.1 / 199.3 cm2</v>
      </c>
      <c r="F28" t="str">
        <f ca="1">OFFSET('R'!$A$1,P!$D$3+$A28,F$13)</f>
        <v>Step 4:   70.000,</v>
      </c>
      <c r="G28">
        <f ca="1">OFFSET('R'!$A$1,P!$D$3+$A28,G$13)</f>
        <v>0</v>
      </c>
      <c r="H28" t="str">
        <f ca="1">OFFSET('R'!$A$1,P!$D$3+$A28,H$13)</f>
        <v>26.450 mm    29.6 kg</v>
      </c>
      <c r="I28" s="1"/>
    </row>
    <row r="29" spans="1:10" x14ac:dyDescent="0.2">
      <c r="A29">
        <f>A28+1</f>
        <v>5</v>
      </c>
      <c r="B29" t="str">
        <f ca="1">OFFSET('R'!$A$1,P!$D$3+$A29,B$13)</f>
        <v>100 % Exc Current.:</v>
      </c>
      <c r="C29" t="str">
        <f ca="1">OFFSET('R'!$A$1,P!$D$3+$A29,C$13)</f>
        <v>0.8241</v>
      </c>
      <c r="D29" t="str">
        <f ca="1">OFFSET('R'!$A$1,P!$D$3+$A29,D$13)</f>
        <v>Weight of Core-Leg:</v>
      </c>
      <c r="E29" t="str">
        <f ca="1">OFFSET('R'!$A$1,P!$D$3+$A29,E$13)</f>
        <v>152.1 kg</v>
      </c>
      <c r="F29" t="str">
        <f ca="1">OFFSET('R'!$A$1,P!$D$3+$A29,F$13)</f>
        <v>Step 5:    0.000,</v>
      </c>
      <c r="G29">
        <f ca="1">OFFSET('R'!$A$1,P!$D$3+$A29,G$13)</f>
        <v>0</v>
      </c>
      <c r="H29" t="str">
        <f ca="1">OFFSET('R'!$A$1,P!$D$3+$A29,H$13)</f>
        <v>0.000 mm     0.0 kg</v>
      </c>
    </row>
    <row r="30" spans="1:10" x14ac:dyDescent="0.2">
      <c r="A30">
        <f t="shared" ref="A30:A36" si="2">A29+1</f>
        <v>6</v>
      </c>
      <c r="B30" t="str">
        <f ca="1">OFFSET('R'!$A$1,P!$D$3+$A30,B$13)</f>
        <v>Sound/Natural Freq:</v>
      </c>
      <c r="C30" t="str">
        <f ca="1">OFFSET('R'!$A$1,P!$D$3+$A30,C$13)</f>
        <v>44.9 db /  1978 Hz</v>
      </c>
      <c r="D30" t="str">
        <f ca="1">OFFSET('R'!$A$1,P!$D$3+$A30,D$13)</f>
        <v>Weight of Yoke....:</v>
      </c>
      <c r="E30" t="str">
        <f ca="1">OFFSET('R'!$A$1,P!$D$3+$A30,E$13)</f>
        <v>169.6 kg</v>
      </c>
      <c r="F30" t="str">
        <f ca="1">OFFSET('R'!$A$1,P!$D$3+$A30,F$13)</f>
        <v>Step 6:    0.000,</v>
      </c>
      <c r="G30">
        <f ca="1">OFFSET('R'!$A$1,P!$D$3+$A30,G$13)</f>
        <v>0</v>
      </c>
      <c r="H30" t="str">
        <f ca="1">OFFSET('R'!$A$1,P!$D$3+$A30,H$13)</f>
        <v>0.000 mm     0.0 kg</v>
      </c>
    </row>
    <row r="31" spans="1:10" x14ac:dyDescent="0.2">
      <c r="A31">
        <f t="shared" si="2"/>
        <v>7</v>
      </c>
      <c r="B31" t="str">
        <f ca="1">OFFSET('R'!$A$1,P!$D$3+$A31,B$13)</f>
        <v>Peak HV Inrush Cur:</v>
      </c>
      <c r="C31" t="str">
        <f ca="1">OFFSET('R'!$A$1,P!$D$3+$A31,C$13)</f>
        <v>13 amp</v>
      </c>
      <c r="D31" t="str">
        <f ca="1">OFFSET('R'!$A$1,P!$D$3+$A31,D$13)</f>
        <v>Core Net Weight...:</v>
      </c>
      <c r="E31" t="str">
        <f ca="1">OFFSET('R'!$A$1,P!$D$3+$A31,E$13)</f>
        <v>321.7 kg</v>
      </c>
      <c r="F31" t="str">
        <f ca="1">OFFSET('R'!$A$1,P!$D$3+$A31,F$13)</f>
        <v>Step 7:    0.000,</v>
      </c>
      <c r="G31">
        <f ca="1">OFFSET('R'!$A$1,P!$D$3+$A31,G$13)</f>
        <v>0</v>
      </c>
      <c r="H31" t="str">
        <f ca="1">OFFSET('R'!$A$1,P!$D$3+$A31,H$13)</f>
        <v>0.000 mm     0.0 kg</v>
      </c>
    </row>
    <row r="32" spans="1:10" x14ac:dyDescent="0.2">
      <c r="A32">
        <f t="shared" si="2"/>
        <v>8</v>
      </c>
      <c r="B32" t="str">
        <f ca="1">OFFSET('R'!$A$1,P!$D$3+$A32,B$13)</f>
        <v>Utilization Factor:</v>
      </c>
      <c r="C32" t="str">
        <f ca="1">OFFSET('R'!$A$1,P!$D$3+$A32,C$13)</f>
        <v>0.9080</v>
      </c>
      <c r="D32" t="str">
        <f ca="1">OFFSET('R'!$A$1,P!$D$3+$A32,D$13)</f>
        <v>Core Scrap Weight.:</v>
      </c>
      <c r="E32" t="str">
        <f ca="1">OFFSET('R'!$A$1,P!$D$3+$A32,E$13)</f>
        <v>16.4 kg</v>
      </c>
      <c r="F32" t="str">
        <f ca="1">OFFSET('R'!$A$1,P!$D$3+$A32,F$13)</f>
        <v>Step 8:    0.000,</v>
      </c>
      <c r="G32">
        <f ca="1">OFFSET('R'!$A$1,P!$D$3+$A32,G$13)</f>
        <v>0</v>
      </c>
      <c r="H32" t="str">
        <f ca="1">OFFSET('R'!$A$1,P!$D$3+$A32,H$13)</f>
        <v>0.000 mm     0.0 kg</v>
      </c>
    </row>
    <row r="33" spans="1:9" x14ac:dyDescent="0.2">
      <c r="A33">
        <f t="shared" si="2"/>
        <v>9</v>
      </c>
      <c r="B33" t="str">
        <f ca="1">OFFSET('R'!$A$1,P!$D$3+$A33,B$13)</f>
        <v>Standard Core No..:</v>
      </c>
      <c r="C33" t="str">
        <f ca="1">OFFSET('R'!$A$1,P!$D$3+$A33,C$13)</f>
        <v>NONE STANDARD</v>
      </c>
      <c r="D33" t="str">
        <f ca="1">OFFSET('R'!$A$1,P!$D$3+$A33,D$13)</f>
        <v>Core Gross Weight.:</v>
      </c>
      <c r="E33" t="str">
        <f ca="1">OFFSET('R'!$A$1,P!$D$3+$A33,E$13)</f>
        <v>338.1 kg</v>
      </c>
      <c r="F33" t="str">
        <f ca="1">OFFSET('R'!$A$1,P!$D$3+$A33,F$13)</f>
        <v>Step 9:    0.000,</v>
      </c>
      <c r="G33">
        <f ca="1">OFFSET('R'!$A$1,P!$D$3+$A33,G$13)</f>
        <v>0</v>
      </c>
      <c r="H33" t="str">
        <f ca="1">OFFSET('R'!$A$1,P!$D$3+$A33,H$13)</f>
        <v>0.000 mm     0.0 kg</v>
      </c>
    </row>
    <row r="34" spans="1:9" x14ac:dyDescent="0.2">
      <c r="A34">
        <f t="shared" si="2"/>
        <v>10</v>
      </c>
      <c r="B34" t="str">
        <f ca="1">OFFSET('R'!$A$1,P!$D$3+$A34,B$13)</f>
        <v>Ovality Factor....:</v>
      </c>
      <c r="C34" t="str">
        <f ca="1">OFFSET('R'!$A$1,P!$D$3+$A34,C$13)</f>
        <v>1.402</v>
      </c>
      <c r="D34" t="str">
        <f ca="1">OFFSET('R'!$A$1,P!$D$3+$A34,D$13)</f>
        <v>Use Max Steel Wi</v>
      </c>
      <c r="E34" t="str">
        <f ca="1">OFFSET('R'!$A$1,P!$D$3+$A34,E$13)</f>
        <v>dth (Steps minus 1)</v>
      </c>
      <c r="F34" t="str">
        <f ca="1">OFFSET('R'!$A$1,P!$D$3+$A34,F$13)</f>
        <v>Using Std</v>
      </c>
      <c r="G34" t="str">
        <f ca="1">OFFSET('R'!$A$1,P!$D$3+$A34,G$13)</f>
        <v>S</v>
      </c>
      <c r="H34" t="str">
        <f ca="1">OFFSET('R'!$A$1,P!$D$3+$A34,H$13)</f>
        <v>teel Widths</v>
      </c>
    </row>
    <row r="35" spans="1:9" x14ac:dyDescent="0.2">
      <c r="A35">
        <f t="shared" si="2"/>
        <v>11</v>
      </c>
      <c r="B35" t="str">
        <f ca="1">OFFSET('R'!$A$1,P!$D$3+$A35,B$13)</f>
        <v>Core Perimeter....:</v>
      </c>
      <c r="C35" t="str">
        <f ca="1">OFFSET('R'!$A$1,P!$D$3+$A35,C$13)</f>
        <v>553.4 mm</v>
      </c>
      <c r="D35" t="str">
        <f ca="1">OFFSET('R'!$A$1,P!$D$3+$A35,D$13)</f>
        <v>Delta Build.......:</v>
      </c>
      <c r="E35" t="str">
        <f ca="1">OFFSET('R'!$A$1,P!$D$3+$A35,E$13)</f>
        <v>72.5 mm</v>
      </c>
      <c r="F35">
        <f ca="1">OFFSET('R'!$A$1,P!$D$3+$A35,F$13)</f>
        <v>0</v>
      </c>
      <c r="G35">
        <f ca="1">OFFSET('R'!$A$1,P!$D$3+$A35,G$13)</f>
        <v>0</v>
      </c>
      <c r="H35">
        <f ca="1">OFFSET('R'!$A$1,P!$D$3+$A35,H$13)</f>
        <v>0</v>
      </c>
    </row>
    <row r="36" spans="1:9" x14ac:dyDescent="0.2">
      <c r="A36">
        <f t="shared" si="2"/>
        <v>12</v>
      </c>
      <c r="B36" t="str">
        <f ca="1">OFFSET('R'!$A$1,P!$D$3+$A36,B$13)</f>
        <v>-------------------</v>
      </c>
      <c r="C36" t="str">
        <f ca="1">OFFSET('R'!$A$1,P!$D$3+$A36,C$13)</f>
        <v>--------------------</v>
      </c>
      <c r="D36" t="str">
        <f ca="1">OFFSET('R'!$A$1,P!$D$3+$A36,D$13)</f>
        <v>L O W   V O L T A</v>
      </c>
      <c r="E36" t="str">
        <f ca="1">OFFSET('R'!$A$1,P!$D$3+$A36,E$13)</f>
        <v>G E   W I N D I N G</v>
      </c>
      <c r="F36" t="str">
        <f ca="1">OFFSET('R'!$A$1,P!$D$3+$A36,F$13)</f>
        <v>------------------</v>
      </c>
      <c r="G36" t="str">
        <f ca="1">OFFSET('R'!$A$1,P!$D$3+$A36,G$13)</f>
        <v>-</v>
      </c>
      <c r="H36" t="str">
        <f ca="1">OFFSET('R'!$A$1,P!$D$3+$A36,H$13)</f>
        <v>--------------------</v>
      </c>
    </row>
    <row r="37" spans="1:9" x14ac:dyDescent="0.2">
      <c r="A37">
        <v>13</v>
      </c>
      <c r="B37" t="str">
        <f ca="1">OFFSET('R'!$A$1,P!$D$3+$A37,B$13)</f>
        <v>Type of Coil......:</v>
      </c>
      <c r="C37" t="str">
        <f ca="1">OFFSET('R'!$A$1,P!$D$3+$A37,C$13)</f>
        <v>CU-Foil</v>
      </c>
      <c r="D37" t="str">
        <f ca="1">OFFSET('R'!$A$1,P!$D$3+$A37,D$13)</f>
        <v>Coil-Length.......:</v>
      </c>
      <c r="E37" t="str">
        <f ca="1">OFFSET('R'!$A$1,P!$D$3+$A37,E$13)</f>
        <v>205.000 mm</v>
      </c>
      <c r="F37" t="str">
        <f ca="1">OFFSET('R'!$A$1,P!$D$3+$A37,F$13)</f>
        <v>ELECT LENGTH......</v>
      </c>
      <c r="G37" t="str">
        <f ca="1">OFFSET('R'!$A$1,P!$D$3+$A37,G$13)</f>
        <v>:</v>
      </c>
      <c r="H37" t="str">
        <f ca="1">OFFSET('R'!$A$1,P!$D$3+$A37,H$13)</f>
        <v>185.000  mm</v>
      </c>
    </row>
    <row r="38" spans="1:9" x14ac:dyDescent="0.2">
      <c r="A38">
        <v>14</v>
      </c>
      <c r="B38" t="str">
        <f ca="1">OFFSET('R'!$A$1,P!$D$3+$A38,B$13)</f>
        <v>TURNS PER COIL....:</v>
      </c>
      <c r="C38" t="str">
        <f ca="1">OFFSET('R'!$A$1,P!$D$3+$A38,C$13)</f>
        <v>1 x   36.0</v>
      </c>
      <c r="D38" t="str">
        <f ca="1">OFFSET('R'!$A$1,P!$D$3+$A38,D$13)</f>
        <v>Inside Dimensions.:</v>
      </c>
      <c r="E38" t="str">
        <f ca="1">OFFSET('R'!$A$1,P!$D$3+$A38,E$13)</f>
        <v>133.000 x205.490 mm</v>
      </c>
      <c r="F38" t="str">
        <f ca="1">OFFSET('R'!$A$1,P!$D$3+$A38,F$13)</f>
        <v>Strip-#x#x Wd x Tk</v>
      </c>
      <c r="G38" t="str">
        <f ca="1">OFFSET('R'!$A$1,P!$D$3+$A38,G$13)</f>
        <v>:</v>
      </c>
      <c r="H38" t="str">
        <f ca="1">OFFSET('R'!$A$1,P!$D$3+$A38,H$13)</f>
        <v>1x1x 185.00 x 0.240</v>
      </c>
    </row>
    <row r="39" spans="1:9" x14ac:dyDescent="0.2">
      <c r="A39" s="35" t="str">
        <f>B4</f>
        <v>LV</v>
      </c>
      <c r="B39" s="33"/>
      <c r="C39" s="33"/>
      <c r="D39" s="33"/>
      <c r="E39" s="33"/>
      <c r="F39" s="33"/>
      <c r="G39" s="33"/>
      <c r="H39" s="33"/>
      <c r="I39" s="1"/>
    </row>
    <row r="40" spans="1:9" x14ac:dyDescent="0.2">
      <c r="A40">
        <v>1</v>
      </c>
      <c r="B40" t="str">
        <f ca="1">OFFSET('R'!$A$1,P!$D$4+$A40,B$13)</f>
        <v>-------------------</v>
      </c>
      <c r="C40" t="str">
        <f ca="1">OFFSET('R'!$A$1,P!$D$4+$A40,C$13)</f>
        <v>--------------------</v>
      </c>
      <c r="D40" t="str">
        <f ca="1">OFFSET('R'!$A$1,P!$D$4+$A40,D$13)</f>
        <v>L O W   V O L T A</v>
      </c>
      <c r="E40" t="str">
        <f ca="1">OFFSET('R'!$A$1,P!$D$4+$A40,E$13)</f>
        <v>G E   W I N D I N G</v>
      </c>
      <c r="F40" t="str">
        <f ca="1">OFFSET('R'!$A$1,P!$D$4+$A40,F$13)</f>
        <v>------------------</v>
      </c>
      <c r="G40" t="str">
        <f ca="1">OFFSET('R'!$A$1,P!$D$4+$A40,G$13)</f>
        <v>-</v>
      </c>
      <c r="H40" t="str">
        <f ca="1">OFFSET('R'!$A$1,P!$D$4+$A40,H$13)</f>
        <v>--------------------</v>
      </c>
      <c r="I40" s="1"/>
    </row>
    <row r="41" spans="1:9" x14ac:dyDescent="0.2">
      <c r="A41">
        <f>A40+1</f>
        <v>2</v>
      </c>
      <c r="B41" t="str">
        <f ca="1">OFFSET('R'!$A$1,P!$D$4+$A41,B$13)</f>
        <v>Type of Coil......:</v>
      </c>
      <c r="C41" t="str">
        <f ca="1">OFFSET('R'!$A$1,P!$D$4+$A41,C$13)</f>
        <v>CU-Foil</v>
      </c>
      <c r="D41" t="str">
        <f ca="1">OFFSET('R'!$A$1,P!$D$4+$A41,D$13)</f>
        <v>Coil-Length.......:</v>
      </c>
      <c r="E41" t="str">
        <f ca="1">OFFSET('R'!$A$1,P!$D$4+$A41,E$13)</f>
        <v>205.000 mm</v>
      </c>
      <c r="F41" t="str">
        <f ca="1">OFFSET('R'!$A$1,P!$D$4+$A41,F$13)</f>
        <v>ELECT LENGTH......</v>
      </c>
      <c r="G41" t="str">
        <f ca="1">OFFSET('R'!$A$1,P!$D$4+$A41,G$13)</f>
        <v>:</v>
      </c>
      <c r="H41" t="str">
        <f ca="1">OFFSET('R'!$A$1,P!$D$4+$A41,H$13)</f>
        <v>185.000  mm</v>
      </c>
      <c r="I41" s="1"/>
    </row>
    <row r="42" spans="1:9" x14ac:dyDescent="0.2">
      <c r="A42">
        <f>A41+1</f>
        <v>3</v>
      </c>
      <c r="B42" t="str">
        <f ca="1">OFFSET('R'!$A$1,P!$D$4+$A42,B$13)</f>
        <v>TURNS PER COIL....:</v>
      </c>
      <c r="C42" t="str">
        <f ca="1">OFFSET('R'!$A$1,P!$D$4+$A42,C$13)</f>
        <v>1 x   36.0</v>
      </c>
      <c r="D42" t="str">
        <f ca="1">OFFSET('R'!$A$1,P!$D$4+$A42,D$13)</f>
        <v>Inside Dimensions.:</v>
      </c>
      <c r="E42" t="str">
        <f ca="1">OFFSET('R'!$A$1,P!$D$4+$A42,E$13)</f>
        <v>133.000 x205.490 mm</v>
      </c>
      <c r="F42" t="str">
        <f ca="1">OFFSET('R'!$A$1,P!$D$4+$A42,F$13)</f>
        <v>Strip-#x#x Wd x Tk</v>
      </c>
      <c r="G42" t="str">
        <f ca="1">OFFSET('R'!$A$1,P!$D$4+$A42,G$13)</f>
        <v>:</v>
      </c>
      <c r="H42" t="str">
        <f ca="1">OFFSET('R'!$A$1,P!$D$4+$A42,H$13)</f>
        <v>1x1x 185.00 x 0.240</v>
      </c>
      <c r="I42" s="1"/>
    </row>
    <row r="43" spans="1:9" x14ac:dyDescent="0.2">
      <c r="A43">
        <f>A42+1</f>
        <v>4</v>
      </c>
      <c r="B43" t="str">
        <f ca="1">OFFSET('R'!$A$1,P!$D$4+$A43,B$13)</f>
        <v>CURRENT DENSITY...:</v>
      </c>
      <c r="C43" t="str">
        <f ca="1">OFFSET('R'!$A$1,P!$D$4+$A43,C$13)</f>
        <v>3.251 A/mm2</v>
      </c>
      <c r="D43" t="str">
        <f ca="1">OFFSET('R'!$A$1,P!$D$4+$A43,D$13)</f>
        <v>Outside Dimensions:</v>
      </c>
      <c r="E43" t="str">
        <f ca="1">OFFSET('R'!$A$1,P!$D$4+$A43,E$13)</f>
        <v>163.490 x240.480 mm</v>
      </c>
      <c r="F43" t="str">
        <f ca="1">OFFSET('R'!$A$1,P!$D$4+$A43,F$13)</f>
        <v>Cond/Lead Weight..</v>
      </c>
      <c r="G43" t="str">
        <f ca="1">OFFSET('R'!$A$1,P!$D$4+$A43,G$13)</f>
        <v>:</v>
      </c>
      <c r="H43" t="str">
        <f ca="1">OFFSET('R'!$A$1,P!$D$4+$A43,H$13)</f>
        <v>26.09 /   1.77 kg</v>
      </c>
    </row>
    <row r="44" spans="1:9" x14ac:dyDescent="0.2">
      <c r="A44">
        <f>A43+1</f>
        <v>5</v>
      </c>
      <c r="B44">
        <f ca="1">OFFSET('R'!$A$1,P!$D$4+$A44,B$13)</f>
        <v>0</v>
      </c>
      <c r="C44">
        <f ca="1">OFFSET('R'!$A$1,P!$D$4+$A44,C$13)</f>
        <v>0</v>
      </c>
      <c r="D44" t="str">
        <f ca="1">OFFSET('R'!$A$1,P!$D$4+$A44,D$13)</f>
        <v>Inner Perimeter...:</v>
      </c>
      <c r="E44" t="str">
        <f ca="1">OFFSET('R'!$A$1,P!$D$4+$A44,E$13)</f>
        <v>562.8 mm</v>
      </c>
      <c r="F44">
        <f ca="1">OFFSET('R'!$A$1,P!$D$4+$A44,F$13)</f>
        <v>0</v>
      </c>
      <c r="G44">
        <f ca="1">OFFSET('R'!$A$1,P!$D$4+$A44,G$13)</f>
        <v>0</v>
      </c>
      <c r="H44">
        <f ca="1">OFFSET('R'!$A$1,P!$D$4+$A44,H$13)</f>
        <v>0</v>
      </c>
      <c r="I44" s="2"/>
    </row>
    <row r="45" spans="1:9" x14ac:dyDescent="0.2">
      <c r="A45">
        <f>A44+1</f>
        <v>6</v>
      </c>
      <c r="B45" t="str">
        <f ca="1">OFFSET('R'!$A$1,P!$D$4+$A45,B$13)</f>
        <v>Cooling Ducts Tk/#:</v>
      </c>
      <c r="C45" t="str">
        <f ca="1">OFFSET('R'!$A$1,P!$D$4+$A45,C$13)</f>
        <v>4.500 mm / 0.33</v>
      </c>
      <c r="D45" t="str">
        <f ca="1">OFFSET('R'!$A$1,P!$D$4+$A45,D$13)</f>
        <v>Rad Blds (H,Leg,L):</v>
      </c>
      <c r="E45" t="str">
        <f ca="1">OFFSET('R'!$A$1,P!$D$4+$A45,E$13)</f>
        <v>15.24/ 15.24/ 19.74</v>
      </c>
      <c r="F45" t="str">
        <f ca="1">OFFSET('R'!$A$1,P!$D$4+$A45,F$13)</f>
        <v>Lay/Trn/Duc Wts...</v>
      </c>
      <c r="G45" t="str">
        <f ca="1">OFFSET('R'!$A$1,P!$D$4+$A45,G$13)</f>
        <v>:</v>
      </c>
      <c r="H45" t="str">
        <f ca="1">OFFSET('R'!$A$1,P!$D$4+$A45,H$13)</f>
        <v>2.94/  0.00/  0.07</v>
      </c>
      <c r="I45" s="1"/>
    </row>
    <row r="46" spans="1:9" x14ac:dyDescent="0.2">
      <c r="A46">
        <f t="shared" ref="A46:A52" si="3">A45+1</f>
        <v>7</v>
      </c>
      <c r="B46" t="str">
        <f ca="1">OFFSET('R'!$A$1,P!$D$4+$A46,B$13)</f>
        <v>Eff No Cool Ducts.:</v>
      </c>
      <c r="C46" t="str">
        <f ca="1">OFFSET('R'!$A$1,P!$D$4+$A46,C$13)</f>
        <v>HV: 0 Leg: 0 LV: 1</v>
      </c>
      <c r="D46" t="str">
        <f ca="1">OFFSET('R'!$A$1,P!$D$4+$A46,D$13)</f>
        <v>Axial Allowance...:</v>
      </c>
      <c r="E46" t="str">
        <f ca="1">OFFSET('R'!$A$1,P!$D$4+$A46,E$13)</f>
        <v>0.000 mm</v>
      </c>
      <c r="F46" t="str">
        <f ca="1">OFFSET('R'!$A$1,P!$D$4+$A46,F$13)</f>
        <v>Total Insul Weight</v>
      </c>
      <c r="G46" t="str">
        <f ca="1">OFFSET('R'!$A$1,P!$D$4+$A46,G$13)</f>
        <v>:</v>
      </c>
      <c r="H46" t="str">
        <f ca="1">OFFSET('R'!$A$1,P!$D$4+$A46,H$13)</f>
        <v>3.01 kg</v>
      </c>
    </row>
    <row r="47" spans="1:9" x14ac:dyDescent="0.2">
      <c r="A47">
        <f t="shared" si="3"/>
        <v>8</v>
      </c>
      <c r="B47" t="str">
        <f ca="1">OFFSET('R'!$A$1,P!$D$4+$A47,B$13)</f>
        <v>Short-Circuit Curr:</v>
      </c>
      <c r="C47" t="str">
        <f ca="1">OFFSET('R'!$A$1,P!$D$4+$A47,C$13)</f>
        <v>6159 Amp.</v>
      </c>
      <c r="D47" t="str">
        <f ca="1">OFFSET('R'!$A$1,P!$D$4+$A47,D$13)</f>
        <v>Num Support Sticks:</v>
      </c>
      <c r="E47" t="str">
        <f ca="1">OFFSET('R'!$A$1,P!$D$4+$A47,E$13)</f>
        <v>12</v>
      </c>
      <c r="F47">
        <f ca="1">OFFSET('R'!$A$1,P!$D$4+$A47,F$13)</f>
        <v>0</v>
      </c>
      <c r="G47">
        <f ca="1">OFFSET('R'!$A$1,P!$D$4+$A47,G$13)</f>
        <v>0</v>
      </c>
      <c r="H47">
        <f ca="1">OFFSET('R'!$A$1,P!$D$4+$A47,H$13)</f>
        <v>0</v>
      </c>
    </row>
    <row r="48" spans="1:9" x14ac:dyDescent="0.2">
      <c r="A48">
        <f t="shared" si="3"/>
        <v>9</v>
      </c>
      <c r="B48" t="str">
        <f ca="1">OFFSET('R'!$A$1,P!$D$4+$A48,B$13)</f>
        <v>Mean Turn Length..:</v>
      </c>
      <c r="C48" t="str">
        <f ca="1">OFFSET('R'!$A$1,P!$D$4+$A48,C$13)</f>
        <v>607.171 mm</v>
      </c>
      <c r="D48" t="str">
        <f ca="1">OFFSET('R'!$A$1,P!$D$4+$A48,D$13)</f>
        <v>Lead:    Wd / Tk..:</v>
      </c>
      <c r="E48" t="str">
        <f ca="1">OFFSET('R'!$A$1,P!$D$4+$A48,E$13)</f>
        <v>25.000 /  3.000 mm</v>
      </c>
      <c r="F48" t="str">
        <f ca="1">OFFSET('R'!$A$1,P!$D$4+$A48,F$13)</f>
        <v>Total Coil Weight.</v>
      </c>
      <c r="G48" t="str">
        <f ca="1">OFFSET('R'!$A$1,P!$D$4+$A48,G$13)</f>
        <v>:</v>
      </c>
      <c r="H48" t="str">
        <f ca="1">OFFSET('R'!$A$1,P!$D$4+$A48,H$13)</f>
        <v>30.87 kg</v>
      </c>
    </row>
    <row r="49" spans="1:9" x14ac:dyDescent="0.2">
      <c r="A49">
        <f t="shared" si="3"/>
        <v>10</v>
      </c>
      <c r="B49" t="str">
        <f ca="1">OFFSET('R'!$A$1,P!$D$4+$A49,B$13)</f>
        <v>Max Turn Lth Buckl:</v>
      </c>
      <c r="C49" t="str">
        <f ca="1">OFFSET('R'!$A$1,P!$D$4+$A49,C$13)</f>
        <v>1510.784 mm</v>
      </c>
      <c r="D49" t="str">
        <f ca="1">OFFSET('R'!$A$1,P!$D$4+$A49,D$13)</f>
        <v>Bus Bar: Wd / Tk..:</v>
      </c>
      <c r="E49" t="str">
        <f ca="1">OFFSET('R'!$A$1,P!$D$4+$A49,E$13)</f>
        <v>25.000 /  3.000 mm</v>
      </c>
      <c r="F49">
        <f ca="1">OFFSET('R'!$A$1,P!$D$4+$A49,F$13)</f>
        <v>0</v>
      </c>
      <c r="G49">
        <f ca="1">OFFSET('R'!$A$1,P!$D$4+$A49,G$13)</f>
        <v>0</v>
      </c>
      <c r="H49">
        <f ca="1">OFFSET('R'!$A$1,P!$D$4+$A49,H$13)</f>
        <v>0</v>
      </c>
    </row>
    <row r="50" spans="1:9" x14ac:dyDescent="0.2">
      <c r="A50">
        <f t="shared" si="3"/>
        <v>11</v>
      </c>
      <c r="B50">
        <f ca="1">OFFSET('R'!$A$1,P!$D$4+$A50,B$13)</f>
        <v>0</v>
      </c>
      <c r="C50">
        <f ca="1">OFFSET('R'!$A$1,P!$D$4+$A50,C$13)</f>
        <v>0</v>
      </c>
      <c r="D50" t="str">
        <f ca="1">OFFSET('R'!$A$1,P!$D$4+$A50,D$13)</f>
        <v>Layer Insul Tk....:</v>
      </c>
      <c r="E50" t="str">
        <f ca="1">OFFSET('R'!$A$1,P!$D$4+$A50,E$13)</f>
        <v>0.180 mm</v>
      </c>
      <c r="F50">
        <f ca="1">OFFSET('R'!$A$1,P!$D$4+$A50,F$13)</f>
        <v>0</v>
      </c>
      <c r="G50">
        <f ca="1">OFFSET('R'!$A$1,P!$D$4+$A50,G$13)</f>
        <v>0</v>
      </c>
      <c r="H50">
        <f ca="1">OFFSET('R'!$A$1,P!$D$4+$A50,H$13)</f>
        <v>0</v>
      </c>
    </row>
    <row r="51" spans="1:9" x14ac:dyDescent="0.2">
      <c r="A51">
        <f t="shared" si="3"/>
        <v>12</v>
      </c>
      <c r="B51" t="str">
        <f ca="1">OFFSET('R'!$A$1,P!$D$4+$A51,B$13)</f>
        <v>T-RISE/GRADIENT...:</v>
      </c>
      <c r="C51" t="str">
        <f ca="1">OFFSET('R'!$A$1,P!$D$4+$A51,C$13)</f>
        <v>47.6/22.2 deg C</v>
      </c>
      <c r="D51" t="str">
        <f ca="1">OFFSET('R'!$A$1,P!$D$4+$A51,D$13)</f>
        <v>Watts/sq m .......:</v>
      </c>
      <c r="E51" t="str">
        <f ca="1">OFFSET('R'!$A$1,P!$D$4+$A51,E$13)</f>
        <v>975.256</v>
      </c>
      <c r="F51" t="str">
        <f ca="1">OFFSET('R'!$A$1,P!$D$4+$A51,F$13)</f>
        <v>Resistance (Coil).</v>
      </c>
      <c r="G51" t="str">
        <f ca="1">OFFSET('R'!$A$1,P!$D$4+$A51,G$13)</f>
        <v>:</v>
      </c>
      <c r="H51" t="str">
        <f ca="1">OFFSET('R'!$A$1,P!$D$4+$A51,H$13)</f>
        <v>0.010324 @ 75 C</v>
      </c>
    </row>
    <row r="52" spans="1:9" x14ac:dyDescent="0.2">
      <c r="A52">
        <f t="shared" si="3"/>
        <v>13</v>
      </c>
      <c r="B52" t="str">
        <f ca="1">OFFSET('R'!$A$1,P!$D$4+$A52,B$13)</f>
        <v>Turn CSA .........:</v>
      </c>
      <c r="C52" t="str">
        <f ca="1">OFFSET('R'!$A$1,P!$D$4+$A52,C$13)</f>
        <v>44.400 mm2</v>
      </c>
      <c r="D52">
        <f ca="1">OFFSET('R'!$A$1,P!$D$4+$A52,D$13)</f>
        <v>0</v>
      </c>
      <c r="E52">
        <f ca="1">OFFSET('R'!$A$1,P!$D$4+$A52,E$13)</f>
        <v>0</v>
      </c>
      <c r="F52" t="str">
        <f ca="1">OFFSET('R'!$A$1,P!$D$4+$A52,F$13)</f>
        <v>Conductor Dims....</v>
      </c>
      <c r="G52" t="str">
        <f ca="1">OFFSET('R'!$A$1,P!$D$4+$A52,G$13)</f>
        <v>:</v>
      </c>
      <c r="H52" t="str">
        <f ca="1">OFFSET('R'!$A$1,P!$D$4+$A52,H$13)</f>
        <v>Specified Size</v>
      </c>
    </row>
    <row r="55" spans="1:9" x14ac:dyDescent="0.2">
      <c r="A55" s="35" t="str">
        <f>B5</f>
        <v>HV</v>
      </c>
      <c r="B55" s="33"/>
      <c r="C55" s="33"/>
      <c r="D55" s="33"/>
      <c r="E55" s="33"/>
      <c r="F55" s="33"/>
      <c r="G55" s="33"/>
      <c r="H55" s="33"/>
      <c r="I55" s="1"/>
    </row>
    <row r="56" spans="1:9" x14ac:dyDescent="0.2">
      <c r="A56">
        <v>2</v>
      </c>
      <c r="B56" t="str">
        <f ca="1">OFFSET('R'!$A$1,P!$D$5+$A56,B$13)</f>
        <v>-------------------</v>
      </c>
      <c r="C56" t="str">
        <f ca="1">OFFSET('R'!$A$1,P!$D$5+$A56,C$13)</f>
        <v>--------------------</v>
      </c>
      <c r="D56" t="str">
        <f ca="1">OFFSET('R'!$A$1,P!$D$5+$A56,D$13)</f>
        <v>I G H   V O L T A</v>
      </c>
      <c r="E56" t="str">
        <f ca="1">OFFSET('R'!$A$1,P!$D$5+$A56,E$13)</f>
        <v>G E   W I N D I N G</v>
      </c>
      <c r="F56" t="str">
        <f ca="1">OFFSET('R'!$A$1,P!$D$5+$A56,F$13)</f>
        <v>------------------</v>
      </c>
      <c r="G56" t="str">
        <f ca="1">OFFSET('R'!$A$1,P!$D$5+$A56,G$13)</f>
        <v>-</v>
      </c>
      <c r="H56" t="str">
        <f ca="1">OFFSET('R'!$A$1,P!$D$5+$A56,H$13)</f>
        <v>--------------------</v>
      </c>
    </row>
    <row r="57" spans="1:9" x14ac:dyDescent="0.2">
      <c r="A57">
        <f>A56+1</f>
        <v>3</v>
      </c>
      <c r="B57" t="str">
        <f ca="1">OFFSET('R'!$A$1,P!$D$5+$A57,B$13)</f>
        <v>Type of Coil......:</v>
      </c>
      <c r="C57" t="str">
        <f ca="1">OFFSET('R'!$A$1,P!$D$5+$A57,C$13)</f>
        <v>Layer-Wound Coil</v>
      </c>
      <c r="D57" t="str">
        <f ca="1">OFFSET('R'!$A$1,P!$D$5+$A57,D$13)</f>
        <v>Coil-Length.......:</v>
      </c>
      <c r="E57" t="str">
        <f ca="1">OFFSET('R'!$A$1,P!$D$5+$A57,E$13)</f>
        <v>205.000 mm</v>
      </c>
      <c r="F57" t="str">
        <f ca="1">OFFSET('R'!$A$1,P!$D$5+$A57,F$13)</f>
        <v>Cond Mec/Elec Lgth</v>
      </c>
      <c r="G57" t="str">
        <f ca="1">OFFSET('R'!$A$1,P!$D$5+$A57,G$13)</f>
        <v>:</v>
      </c>
      <c r="H57" t="str">
        <f ca="1">OFFSET('R'!$A$1,P!$D$5+$A57,H$13)</f>
        <v>139.000 /  138.225</v>
      </c>
    </row>
    <row r="58" spans="1:9" x14ac:dyDescent="0.2">
      <c r="A58">
        <f>A57+1</f>
        <v>4</v>
      </c>
      <c r="B58" t="str">
        <f ca="1">OFFSET('R'!$A$1,P!$D$5+$A58,B$13)</f>
        <v>Conductor.........:</v>
      </c>
      <c r="C58" t="str">
        <f ca="1">OFFSET('R'!$A$1,P!$D$5+$A58,C$13)</f>
        <v>CU-Round</v>
      </c>
      <c r="D58" t="str">
        <f ca="1">OFFSET('R'!$A$1,P!$D$5+$A58,D$13)</f>
        <v>Inside Dimensions.:</v>
      </c>
      <c r="E58" t="str">
        <f ca="1">OFFSET('R'!$A$1,P!$D$5+$A58,E$13)</f>
        <v>193.490 x 270.480</v>
      </c>
      <c r="F58" t="str">
        <f ca="1">OFFSET('R'!$A$1,P!$D$5+$A58,F$13)</f>
        <v>Cond-Dim Per Turn.</v>
      </c>
      <c r="G58" t="str">
        <f ca="1">OFFSET('R'!$A$1,P!$D$5+$A58,G$13)</f>
        <v>:</v>
      </c>
      <c r="H58" t="str">
        <f ca="1">OFFSET('R'!$A$1,P!$D$5+$A58,H$13)</f>
        <v>1x1x 0.700 x 0.700</v>
      </c>
    </row>
    <row r="59" spans="1:9" x14ac:dyDescent="0.2">
      <c r="A59">
        <f>A58+1</f>
        <v>5</v>
      </c>
      <c r="B59" t="str">
        <f ca="1">OFFSET('R'!$A$1,P!$D$5+$A59,B$13)</f>
        <v>Turns Tot./Nominal:</v>
      </c>
      <c r="C59" t="str">
        <f ca="1">OFFSET('R'!$A$1,P!$D$5+$A59,C$13)</f>
        <v>5401/   5144</v>
      </c>
      <c r="D59" t="str">
        <f ca="1">OFFSET('R'!$A$1,P!$D$5+$A59,D$13)</f>
        <v>Outside Dimensions:</v>
      </c>
      <c r="E59" t="str">
        <f ca="1">OFFSET('R'!$A$1,P!$D$5+$A59,E$13)</f>
        <v>272.182 x 349.172</v>
      </c>
      <c r="F59" t="str">
        <f ca="1">OFFSET('R'!$A$1,P!$D$5+$A59,F$13)</f>
        <v>Cond Area Per Turn</v>
      </c>
      <c r="G59" t="str">
        <f ca="1">OFFSET('R'!$A$1,P!$D$5+$A59,G$13)</f>
        <v>:</v>
      </c>
      <c r="H59" t="str">
        <f ca="1">OFFSET('R'!$A$1,P!$D$5+$A59,H$13)</f>
        <v>0.38485 mm2</v>
      </c>
    </row>
    <row r="60" spans="1:9" x14ac:dyDescent="0.2">
      <c r="A60">
        <f>A59+1</f>
        <v>6</v>
      </c>
      <c r="B60" t="str">
        <f ca="1">OFFSET('R'!$A$1,P!$D$5+$A60,B$13)</f>
        <v>Cooling Ducts Tk/#:</v>
      </c>
      <c r="C60" t="str">
        <f ca="1">OFFSET('R'!$A$1,P!$D$5+$A60,C$13)</f>
        <v>4.500 mm /  1.00</v>
      </c>
      <c r="D60" t="str">
        <f ca="1">OFFSET('R'!$A$1,P!$D$5+$A60,D$13)</f>
        <v>Rad Blds (H,Leg,L):</v>
      </c>
      <c r="E60" t="str">
        <f ca="1">OFFSET('R'!$A$1,P!$D$5+$A60,E$13)</f>
        <v>39.35/ 39.35/ 39.35</v>
      </c>
      <c r="F60" t="str">
        <f ca="1">OFFSET('R'!$A$1,P!$D$5+$A60,F$13)</f>
        <v>HV Conductor Wt...</v>
      </c>
      <c r="G60" t="str">
        <f ca="1">OFFSET('R'!$A$1,P!$D$5+$A60,G$13)</f>
        <v>:</v>
      </c>
      <c r="H60" t="str">
        <f ca="1">OFFSET('R'!$A$1,P!$D$5+$A60,H$13)</f>
        <v>48.97 kg</v>
      </c>
    </row>
    <row r="61" spans="1:9" x14ac:dyDescent="0.2">
      <c r="A61">
        <f>A60+1</f>
        <v>7</v>
      </c>
      <c r="B61" t="str">
        <f ca="1">OFFSET('R'!$A$1,P!$D$5+$A61,B$13)</f>
        <v>Eff No Cool Ducts.:</v>
      </c>
      <c r="C61" t="str">
        <f ca="1">OFFSET('R'!$A$1,P!$D$5+$A61,C$13)</f>
        <v>HV: 1 Leg: 1 LV: 1</v>
      </c>
      <c r="D61" t="str">
        <f ca="1">OFFSET('R'!$A$1,P!$D$5+$A61,D$13)</f>
        <v>Add Rad Allowance.:</v>
      </c>
      <c r="E61" t="str">
        <f ca="1">OFFSET('R'!$A$1,P!$D$5+$A61,E$13)</f>
        <v>0.000 mm</v>
      </c>
      <c r="F61" t="str">
        <f ca="1">OFFSET('R'!$A$1,P!$D$5+$A61,F$13)</f>
        <v>Lay/Trn/Duc Wts...</v>
      </c>
      <c r="G61" t="str">
        <f ca="1">OFFSET('R'!$A$1,P!$D$5+$A61,G$13)</f>
        <v>:</v>
      </c>
      <c r="H61" t="str">
        <f ca="1">OFFSET('R'!$A$1,P!$D$5+$A61,H$13)</f>
        <v>7.82/  0.00/  0.32</v>
      </c>
    </row>
    <row r="62" spans="1:9" x14ac:dyDescent="0.2">
      <c r="A62">
        <f t="shared" ref="A62:A68" si="4">A61+1</f>
        <v>8</v>
      </c>
      <c r="B62" t="str">
        <f ca="1">OFFSET('R'!$A$1,P!$D$5+$A62,B$13)</f>
        <v>Mean Turn Length..:</v>
      </c>
      <c r="C62" t="str">
        <f ca="1">OFFSET('R'!$A$1,P!$D$5+$A62,C$13)</f>
        <v>876.5 mm</v>
      </c>
      <c r="D62" t="str">
        <f ca="1">OFFSET('R'!$A$1,P!$D$5+$A62,D$13)</f>
        <v>Layer/Turn Ins Bd.:</v>
      </c>
      <c r="E62" t="str">
        <f ca="1">OFFSET('R'!$A$1,P!$D$5+$A62,E$13)</f>
        <v>0.400/  0.075 mm</v>
      </c>
      <c r="F62" t="str">
        <f ca="1">OFFSET('R'!$A$1,P!$D$5+$A62,F$13)</f>
        <v>Insulation Weight.</v>
      </c>
      <c r="G62" t="str">
        <f ca="1">OFFSET('R'!$A$1,P!$D$5+$A62,G$13)</f>
        <v>:</v>
      </c>
      <c r="H62" t="str">
        <f ca="1">OFFSET('R'!$A$1,P!$D$5+$A62,H$13)</f>
        <v>8.13 kg</v>
      </c>
    </row>
    <row r="63" spans="1:9" x14ac:dyDescent="0.2">
      <c r="A63">
        <f t="shared" si="4"/>
        <v>9</v>
      </c>
      <c r="B63" t="str">
        <f ca="1">OFFSET('R'!$A$1,P!$D$5+$A63,B$13)</f>
        <v>LayIns Tk.........:</v>
      </c>
      <c r="C63" t="str">
        <f ca="1">OFFSET('R'!$A$1,P!$D$5+$A63,C$13)</f>
        <v>(29 Full)  0.400 mm</v>
      </c>
      <c r="D63" t="str">
        <f ca="1">OFFSET('R'!$A$1,P!$D$5+$A63,D$13)</f>
        <v>LayIns RB W/OvBld.:</v>
      </c>
      <c r="E63" t="str">
        <f ca="1">OFFSET('R'!$A$1,P!$D$5+$A63,E$13)</f>
        <v>8.45 mm</v>
      </c>
      <c r="F63" t="str">
        <f ca="1">OFFSET('R'!$A$1,P!$D$5+$A63,F$13)</f>
        <v>Average LayIns Tk.</v>
      </c>
      <c r="G63" t="str">
        <f ca="1">OFFSET('R'!$A$1,P!$D$5+$A63,G$13)</f>
        <v>:</v>
      </c>
      <c r="H63" t="str">
        <f ca="1">OFFSET('R'!$A$1,P!$D$5+$A63,H$13)</f>
        <v>(Strip) 0.265 mm</v>
      </c>
    </row>
    <row r="64" spans="1:9" x14ac:dyDescent="0.2">
      <c r="A64">
        <f t="shared" si="4"/>
        <v>10</v>
      </c>
      <c r="B64" t="str">
        <f ca="1">OFFSET('R'!$A$1,P!$D$5+$A64,B$13)</f>
        <v>CURRENT DENSITY...:</v>
      </c>
      <c r="C64" t="str">
        <f ca="1">OFFSET('R'!$A$1,P!$D$5+$A64,C$13)</f>
        <v>2.625 A/mm2</v>
      </c>
      <c r="D64" t="str">
        <f ca="1">OFFSET('R'!$A$1,P!$D$5+$A64,D$13)</f>
        <v># Sup Pts/Ax All..:</v>
      </c>
      <c r="E64" t="str">
        <f ca="1">OFFSET('R'!$A$1,P!$D$5+$A64,E$13)</f>
        <v>12 /  0.000 mm</v>
      </c>
      <c r="F64" t="str">
        <f ca="1">OFFSET('R'!$A$1,P!$D$5+$A64,F$13)</f>
        <v>Total Coil Weight.</v>
      </c>
      <c r="G64" t="str">
        <f ca="1">OFFSET('R'!$A$1,P!$D$5+$A64,G$13)</f>
        <v>:</v>
      </c>
      <c r="H64" t="str">
        <f ca="1">OFFSET('R'!$A$1,P!$D$5+$A64,H$13)</f>
        <v>57.10 kg</v>
      </c>
    </row>
    <row r="65" spans="1:9" x14ac:dyDescent="0.2">
      <c r="A65">
        <f t="shared" si="4"/>
        <v>11</v>
      </c>
      <c r="B65" t="str">
        <f ca="1">OFFSET('R'!$A$1,P!$D$5+$A65,B$13)</f>
        <v># Lay: Max/Min tpl:</v>
      </c>
      <c r="C65" t="str">
        <f ca="1">OFFSET('R'!$A$1,P!$D$5+$A65,C$13)</f>
        <v>31# 178.00/ 61.00 *</v>
      </c>
      <c r="D65" t="str">
        <f ca="1">OFFSET('R'!$A$1,P!$D$5+$A65,D$13)</f>
        <v>Axial Sections....:</v>
      </c>
      <c r="E65" t="str">
        <f ca="1">OFFSET('R'!$A$1,P!$D$5+$A65,E$13)</f>
        <v>1</v>
      </c>
      <c r="F65" t="str">
        <f ca="1">OFFSET('R'!$A$1,P!$D$5+$A65,F$13)</f>
        <v>Layer-Layer Volts.</v>
      </c>
      <c r="G65" t="str">
        <f ca="1">OFFSET('R'!$A$1,P!$D$5+$A65,G$13)</f>
        <v>:</v>
      </c>
      <c r="H65" t="str">
        <f ca="1">OFFSET('R'!$A$1,P!$D$5+$A65,H$13)</f>
        <v>2288.3</v>
      </c>
    </row>
    <row r="66" spans="1:9" x14ac:dyDescent="0.2">
      <c r="A66">
        <f t="shared" si="4"/>
        <v>12</v>
      </c>
      <c r="B66" t="str">
        <f ca="1">OFFSET('R'!$A$1,P!$D$5+$A66,B$13)</f>
        <v>T-RISE/GRADIENT...:</v>
      </c>
      <c r="C66" t="str">
        <f ca="1">OFFSET('R'!$A$1,P!$D$5+$A66,C$13)</f>
        <v>41.3/15.9 deg C</v>
      </c>
      <c r="D66" t="str">
        <f ca="1">OFFSET('R'!$A$1,P!$D$5+$A66,D$13)</f>
        <v>Watts/sq m .......:</v>
      </c>
      <c r="E66" t="str">
        <f ca="1">OFFSET('R'!$A$1,P!$D$5+$A66,E$13)</f>
        <v>585.971</v>
      </c>
      <c r="F66" t="str">
        <f ca="1">OFFSET('R'!$A$1,P!$D$5+$A66,F$13)</f>
        <v>Resistance (Coil).</v>
      </c>
      <c r="G66" t="str">
        <f ca="1">OFFSET('R'!$A$1,P!$D$5+$A66,G$13)</f>
        <v>:</v>
      </c>
      <c r="H66" t="str">
        <f ca="1">OFFSET('R'!$A$1,P!$D$5+$A66,H$13)</f>
        <v>245.6654 @ 75 C</v>
      </c>
    </row>
    <row r="67" spans="1:9" x14ac:dyDescent="0.2">
      <c r="A67">
        <f t="shared" si="4"/>
        <v>13</v>
      </c>
      <c r="B67">
        <f ca="1">OFFSET('R'!$A$1,P!$D$5+$A67,B$13)</f>
        <v>0</v>
      </c>
      <c r="C67">
        <f ca="1">OFFSET('R'!$A$1,P!$D$5+$A67,C$13)</f>
        <v>0</v>
      </c>
      <c r="D67">
        <f ca="1">OFFSET('R'!$A$1,P!$D$5+$A67,D$13)</f>
        <v>0</v>
      </c>
      <c r="E67">
        <f ca="1">OFFSET('R'!$A$1,P!$D$5+$A67,E$13)</f>
        <v>0</v>
      </c>
      <c r="F67" t="str">
        <f ca="1">OFFSET('R'!$A$1,P!$D$5+$A67,F$13)</f>
        <v>Conductor Dims....</v>
      </c>
      <c r="G67" t="str">
        <f ca="1">OFFSET('R'!$A$1,P!$D$5+$A67,G$13)</f>
        <v>:</v>
      </c>
      <c r="H67" t="str">
        <f ca="1">OFFSET('R'!$A$1,P!$D$5+$A67,H$13)</f>
        <v>Standard Size</v>
      </c>
    </row>
    <row r="68" spans="1:9" x14ac:dyDescent="0.2">
      <c r="A68">
        <f t="shared" si="4"/>
        <v>14</v>
      </c>
      <c r="B68" t="str">
        <f ca="1">OFFSET('R'!$A$1,P!$D$5+$A68,B$13)</f>
        <v>-------------------</v>
      </c>
      <c r="C68" t="str">
        <f ca="1">OFFSET('R'!$A$1,P!$D$5+$A68,C$13)</f>
        <v>--------------------</v>
      </c>
      <c r="D68" t="str">
        <f ca="1">OFFSET('R'!$A$1,P!$D$5+$A68,D$13)</f>
        <v>L E C T R I C A L</v>
      </c>
      <c r="E68" t="str">
        <f ca="1">OFFSET('R'!$A$1,P!$D$5+$A68,E$13)</f>
        <v>C L E A R A N C E</v>
      </c>
      <c r="F68" t="str">
        <f ca="1">OFFSET('R'!$A$1,P!$D$5+$A68,F$13)</f>
        <v>------------------</v>
      </c>
      <c r="G68" t="str">
        <f ca="1">OFFSET('R'!$A$1,P!$D$5+$A68,G$13)</f>
        <v>-</v>
      </c>
      <c r="H68" t="str">
        <f ca="1">OFFSET('R'!$A$1,P!$D$5+$A68,H$13)</f>
        <v>--------------------</v>
      </c>
    </row>
    <row r="70" spans="1:9" x14ac:dyDescent="0.2">
      <c r="A70" s="35" t="str">
        <f>B6</f>
        <v>Clearances</v>
      </c>
      <c r="B70" s="33"/>
      <c r="C70" s="33"/>
      <c r="D70" s="33"/>
      <c r="E70" s="33"/>
      <c r="F70" s="33"/>
      <c r="G70" s="33"/>
      <c r="H70" s="33"/>
      <c r="I70" s="1"/>
    </row>
    <row r="71" spans="1:9" x14ac:dyDescent="0.2">
      <c r="A71">
        <v>3</v>
      </c>
      <c r="B71" t="str">
        <f ca="1">OFFSET('R'!$A$1,P!$D$6+$A71,B$13)</f>
        <v>-------------------</v>
      </c>
      <c r="C71" t="str">
        <f ca="1">OFFSET('R'!$A$1,P!$D$6+$A71,C$13)</f>
        <v>--------------------</v>
      </c>
      <c r="D71" t="str">
        <f ca="1">OFFSET('R'!$A$1,P!$D$6+$A71,D$13)</f>
        <v>L E C T R I C A L</v>
      </c>
      <c r="E71" t="str">
        <f ca="1">OFFSET('R'!$A$1,P!$D$6+$A71,E$13)</f>
        <v>C L E A R A N C E</v>
      </c>
      <c r="F71" t="str">
        <f ca="1">OFFSET('R'!$A$1,P!$D$6+$A71,F$13)</f>
        <v>------------------</v>
      </c>
      <c r="G71" t="str">
        <f ca="1">OFFSET('R'!$A$1,P!$D$6+$A71,G$13)</f>
        <v>-</v>
      </c>
      <c r="H71" t="str">
        <f ca="1">OFFSET('R'!$A$1,P!$D$6+$A71,H$13)</f>
        <v>--------------------</v>
      </c>
    </row>
    <row r="72" spans="1:9" x14ac:dyDescent="0.2">
      <c r="A72">
        <f t="shared" ref="A72:A78" si="5">A71+1</f>
        <v>4</v>
      </c>
      <c r="B72" t="str">
        <f ca="1">OFFSET('R'!$A$1,P!$D$6+$A72,B$13)</f>
        <v>LV to Core Leg(mm):</v>
      </c>
      <c r="C72" t="str">
        <f ca="1">OFFSET('R'!$A$1,P!$D$6+$A72,C$13)</f>
        <v>1.50x  1.50x  7.00</v>
      </c>
      <c r="D72" t="str">
        <f ca="1">OFFSET('R'!$A$1,P!$D$6+$A72,D$13)</f>
        <v>LV Cond to Yoke...:</v>
      </c>
      <c r="E72" t="str">
        <f ca="1">OFFSET('R'!$A$1,P!$D$6+$A72,E$13)</f>
        <v>23.500 mm</v>
      </c>
      <c r="F72" t="str">
        <f ca="1">OFFSET('R'!$A$1,P!$D$6+$A72,F$13)</f>
        <v>Total HV-LV Offset</v>
      </c>
      <c r="G72" t="str">
        <f ca="1">OFFSET('R'!$A$1,P!$D$6+$A72,G$13)</f>
        <v>:</v>
      </c>
      <c r="H72" t="str">
        <f ca="1">OFFSET('R'!$A$1,P!$D$6+$A72,H$13)</f>
        <v>46.000 mm</v>
      </c>
    </row>
    <row r="73" spans="1:9" x14ac:dyDescent="0.2">
      <c r="A73">
        <f t="shared" si="5"/>
        <v>5</v>
      </c>
      <c r="B73" t="str">
        <f ca="1">OFFSET('R'!$A$1,P!$D$6+$A73,B$13)</f>
        <v>Eff Hi-Lo ElecSpan:</v>
      </c>
      <c r="C73" t="str">
        <f ca="1">OFFSET('R'!$A$1,P!$D$6+$A73,C$13)</f>
        <v>15.000 mm</v>
      </c>
      <c r="D73" t="str">
        <f ca="1">OFFSET('R'!$A$1,P!$D$6+$A73,D$13)</f>
        <v>Ph-Ph Elec Spacing:</v>
      </c>
      <c r="E73" t="str">
        <f ca="1">OFFSET('R'!$A$1,P!$D$6+$A73,E$13)</f>
        <v>21.000 mm</v>
      </c>
      <c r="F73" t="str">
        <f ca="1">OFFSET('R'!$A$1,P!$D$6+$A73,F$13)</f>
        <v>Max LV Sup Span...</v>
      </c>
      <c r="G73" t="str">
        <f ca="1">OFFSET('R'!$A$1,P!$D$6+$A73,G$13)</f>
        <v>:</v>
      </c>
      <c r="H73" t="str">
        <f ca="1">OFFSET('R'!$A$1,P!$D$6+$A73,H$13)</f>
        <v>57.000 mm</v>
      </c>
    </row>
    <row r="74" spans="1:9" x14ac:dyDescent="0.2">
      <c r="A74">
        <f t="shared" si="5"/>
        <v>6</v>
      </c>
      <c r="B74" t="str">
        <f ca="1">OFFSET('R'!$A$1,P!$D$6+$A74,B$13)</f>
        <v>HV-HSide/HV-LSide.:</v>
      </c>
      <c r="C74" t="str">
        <f ca="1">OFFSET('R'!$A$1,P!$D$6+$A74,C$13)</f>
        <v>60.00 / 60.00 mm</v>
      </c>
      <c r="D74" t="str">
        <f ca="1">OFFSET('R'!$A$1,P!$D$6+$A74,D$13)</f>
        <v>HV-Ends...........:</v>
      </c>
      <c r="E74" t="str">
        <f ca="1">OFFSET('R'!$A$1,P!$D$6+$A74,E$13)</f>
        <v>88.000 mm</v>
      </c>
      <c r="F74" t="str">
        <f ca="1">OFFSET('R'!$A$1,P!$D$6+$A74,F$13)</f>
        <v>Yoke-Case Top/Bot.</v>
      </c>
      <c r="G74" t="str">
        <f ca="1">OFFSET('R'!$A$1,P!$D$6+$A74,G$13)</f>
        <v>:</v>
      </c>
      <c r="H74" t="str">
        <f ca="1">OFFSET('R'!$A$1,P!$D$6+$A74,H$13)</f>
        <v>240.00 / 70.00 mm</v>
      </c>
    </row>
    <row r="75" spans="1:9" x14ac:dyDescent="0.2">
      <c r="A75">
        <f t="shared" si="5"/>
        <v>7</v>
      </c>
      <c r="B75" t="str">
        <f ca="1">OFFSET('R'!$A$1,P!$D$6+$A75,B$13)</f>
        <v>HV Fixed Gap......:</v>
      </c>
      <c r="C75" t="str">
        <f ca="1">OFFSET('R'!$A$1,P!$D$6+$A75,C$13)</f>
        <v>0.000 mm</v>
      </c>
      <c r="D75">
        <f ca="1">OFFSET('R'!$A$1,P!$D$6+$A75,D$13)</f>
        <v>0</v>
      </c>
      <c r="E75">
        <f ca="1">OFFSET('R'!$A$1,P!$D$6+$A75,E$13)</f>
        <v>0</v>
      </c>
      <c r="F75">
        <f ca="1">OFFSET('R'!$A$1,P!$D$6+$A75,F$13)</f>
        <v>0</v>
      </c>
      <c r="G75">
        <f ca="1">OFFSET('R'!$A$1,P!$D$6+$A75,G$13)</f>
        <v>0</v>
      </c>
      <c r="H75">
        <f ca="1">OFFSET('R'!$A$1,P!$D$6+$A75,H$13)</f>
        <v>0</v>
      </c>
    </row>
    <row r="76" spans="1:9" x14ac:dyDescent="0.2">
      <c r="A76">
        <f t="shared" si="5"/>
        <v>8</v>
      </c>
      <c r="B76" t="str">
        <f ca="1">OFFSET('R'!$A$1,P!$D$6+$A76,B$13)</f>
        <v>-------- BASIS FOR</v>
      </c>
      <c r="C76" t="str">
        <f ca="1">OFFSET('R'!$A$1,P!$D$6+$A76,C$13)</f>
        <v>CALCULATIONS -------</v>
      </c>
      <c r="D76" t="str">
        <f ca="1">OFFSET('R'!$A$1,P!$D$6+$A76,D$13)</f>
        <v>-------------------</v>
      </c>
      <c r="E76" t="str">
        <f ca="1">OFFSET('R'!$A$1,P!$D$6+$A76,E$13)</f>
        <v>-- MATERIAL  PRICES</v>
      </c>
      <c r="F76" t="str">
        <f ca="1">OFFSET('R'!$A$1,P!$D$6+$A76,F$13)</f>
        <v>USD/KG (17-08-01</v>
      </c>
      <c r="G76" t="str">
        <f ca="1">OFFSET('R'!$A$1,P!$D$6+$A76,G$13)</f>
        <v>)</v>
      </c>
      <c r="H76" t="str">
        <f ca="1">OFFSET('R'!$A$1,P!$D$6+$A76,H$13)</f>
        <v>-------------------</v>
      </c>
    </row>
    <row r="77" spans="1:9" x14ac:dyDescent="0.2">
      <c r="A77">
        <f t="shared" si="5"/>
        <v>9</v>
      </c>
      <c r="B77" t="str">
        <f ca="1">OFFSET('R'!$A$1,P!$D$6+$A77,B$13)</f>
        <v>Netw.Short Cir.Cap:</v>
      </c>
      <c r="C77" t="str">
        <f ca="1">OFFSET('R'!$A$1,P!$D$6+$A77,C$13)</f>
        <v>1000.0  MVA</v>
      </c>
      <c r="D77" t="str">
        <f ca="1">OFFSET('R'!$A$1,P!$D$6+$A77,D$13)</f>
        <v>E Rnd Wire: AL/CU.:</v>
      </c>
      <c r="E77" t="str">
        <f ca="1">OFFSET('R'!$A$1,P!$D$6+$A77,E$13)</f>
        <v>12.00 / 22.52</v>
      </c>
      <c r="F77" t="str">
        <f ca="1">OFFSET('R'!$A$1,P!$D$6+$A77,F$13)</f>
        <v>Core Cost.........</v>
      </c>
      <c r="G77" t="str">
        <f ca="1">OFFSET('R'!$A$1,P!$D$6+$A77,G$13)</f>
        <v>:</v>
      </c>
      <c r="H77" t="str">
        <f ca="1">OFFSET('R'!$A$1,P!$D$6+$A77,H$13)</f>
        <v>5.02</v>
      </c>
    </row>
    <row r="78" spans="1:9" x14ac:dyDescent="0.2">
      <c r="A78">
        <f t="shared" si="5"/>
        <v>10</v>
      </c>
      <c r="B78" t="str">
        <f ca="1">OFFSET('R'!$A$1,P!$D$6+$A78,B$13)</f>
        <v>Wdg Rise Limit....:</v>
      </c>
      <c r="C78" t="str">
        <f ca="1">OFFSET('R'!$A$1,P!$D$6+$A78,C$13)</f>
        <v>60.0 deg C</v>
      </c>
      <c r="D78" t="str">
        <f ca="1">OFFSET('R'!$A$1,P!$D$6+$A78,D$13)</f>
        <v>Rect Wire : Al/Cu.:</v>
      </c>
      <c r="E78" t="str">
        <f ca="1">OFFSET('R'!$A$1,P!$D$6+$A78,E$13)</f>
        <v>9.93 / 23.20</v>
      </c>
      <c r="F78" t="str">
        <f ca="1">OFFSET('R'!$A$1,P!$D$6+$A78,F$13)</f>
        <v>Turn/Lay/DD Insul.</v>
      </c>
      <c r="G78" t="str">
        <f ca="1">OFFSET('R'!$A$1,P!$D$6+$A78,G$13)</f>
        <v>:</v>
      </c>
      <c r="H78" t="str">
        <f ca="1">OFFSET('R'!$A$1,P!$D$6+$A78,H$13)</f>
        <v>2.18 /  3.28 / 4.1</v>
      </c>
    </row>
    <row r="80" spans="1:9" x14ac:dyDescent="0.2">
      <c r="A80" s="35" t="str">
        <f>B7</f>
        <v>Calculations</v>
      </c>
      <c r="B80" s="33"/>
      <c r="C80" s="33"/>
      <c r="D80" s="33"/>
      <c r="E80" s="33"/>
      <c r="F80" s="33"/>
      <c r="G80" s="33"/>
      <c r="H80" s="33"/>
      <c r="I80" s="1"/>
    </row>
    <row r="81" spans="1:9" x14ac:dyDescent="0.2">
      <c r="A81">
        <v>4</v>
      </c>
      <c r="B81" t="str">
        <f ca="1">OFFSET('R'!$A$1,P!$D$7+$A81,B$13)</f>
        <v>-------- BASIS FOR</v>
      </c>
      <c r="C81" t="str">
        <f ca="1">OFFSET('R'!$A$1,P!$D$7+$A81,C$13)</f>
        <v>CALCULATIONS -------</v>
      </c>
      <c r="D81" t="str">
        <f ca="1">OFFSET('R'!$A$1,P!$D$7+$A81,D$13)</f>
        <v>-------------------</v>
      </c>
      <c r="E81" t="str">
        <f ca="1">OFFSET('R'!$A$1,P!$D$7+$A81,E$13)</f>
        <v>-- MATERIAL  PRICES</v>
      </c>
      <c r="F81" t="str">
        <f ca="1">OFFSET('R'!$A$1,P!$D$7+$A81,F$13)</f>
        <v>USD/KG (17-08-01</v>
      </c>
      <c r="G81" t="str">
        <f ca="1">OFFSET('R'!$A$1,P!$D$7+$A81,G$13)</f>
        <v>)</v>
      </c>
      <c r="H81" t="str">
        <f ca="1">OFFSET('R'!$A$1,P!$D$7+$A81,H$13)</f>
        <v>-------------------</v>
      </c>
    </row>
    <row r="82" spans="1:9" x14ac:dyDescent="0.2">
      <c r="A82">
        <f t="shared" ref="A82:A88" si="6">A81+1</f>
        <v>5</v>
      </c>
      <c r="B82" t="str">
        <f ca="1">OFFSET('R'!$A$1,P!$D$7+$A82,B$13)</f>
        <v>Netw.Short Cir.Cap:</v>
      </c>
      <c r="C82" t="str">
        <f ca="1">OFFSET('R'!$A$1,P!$D$7+$A82,C$13)</f>
        <v>1000.0  MVA</v>
      </c>
      <c r="D82" t="str">
        <f ca="1">OFFSET('R'!$A$1,P!$D$7+$A82,D$13)</f>
        <v>E Rnd Wire: AL/CU.:</v>
      </c>
      <c r="E82" t="str">
        <f ca="1">OFFSET('R'!$A$1,P!$D$7+$A82,E$13)</f>
        <v>12.00 / 22.52</v>
      </c>
      <c r="F82" t="str">
        <f ca="1">OFFSET('R'!$A$1,P!$D$7+$A82,F$13)</f>
        <v>Core Cost.........</v>
      </c>
      <c r="G82" t="str">
        <f ca="1">OFFSET('R'!$A$1,P!$D$7+$A82,G$13)</f>
        <v>:</v>
      </c>
      <c r="H82" t="str">
        <f ca="1">OFFSET('R'!$A$1,P!$D$7+$A82,H$13)</f>
        <v>5.02</v>
      </c>
    </row>
    <row r="83" spans="1:9" x14ac:dyDescent="0.2">
      <c r="A83">
        <f t="shared" si="6"/>
        <v>6</v>
      </c>
      <c r="B83" t="str">
        <f ca="1">OFFSET('R'!$A$1,P!$D$7+$A83,B$13)</f>
        <v>Wdg Rise Limit....:</v>
      </c>
      <c r="C83" t="str">
        <f ca="1">OFFSET('R'!$A$1,P!$D$7+$A83,C$13)</f>
        <v>60.0 deg C</v>
      </c>
      <c r="D83" t="str">
        <f ca="1">OFFSET('R'!$A$1,P!$D$7+$A83,D$13)</f>
        <v>Rect Wire : Al/Cu.:</v>
      </c>
      <c r="E83" t="str">
        <f ca="1">OFFSET('R'!$A$1,P!$D$7+$A83,E$13)</f>
        <v>9.93 / 23.20</v>
      </c>
      <c r="F83" t="str">
        <f ca="1">OFFSET('R'!$A$1,P!$D$7+$A83,F$13)</f>
        <v>Turn/Lay/DD Insul.</v>
      </c>
      <c r="G83" t="str">
        <f ca="1">OFFSET('R'!$A$1,P!$D$7+$A83,G$13)</f>
        <v>:</v>
      </c>
      <c r="H83" t="str">
        <f ca="1">OFFSET('R'!$A$1,P!$D$7+$A83,H$13)</f>
        <v>2.18 /  3.28 / 4.1</v>
      </c>
    </row>
    <row r="84" spans="1:9" x14ac:dyDescent="0.2">
      <c r="A84">
        <f t="shared" si="6"/>
        <v>7</v>
      </c>
      <c r="B84" t="str">
        <f ca="1">OFFSET('R'!$A$1,P!$D$7+$A84,B$13)</f>
        <v>Top Oil Rise Limit:</v>
      </c>
      <c r="C84" t="str">
        <f ca="1">OFFSET('R'!$A$1,P!$D$7+$A84,C$13)</f>
        <v>55.0 deg C</v>
      </c>
      <c r="D84" t="str">
        <f ca="1">OFFSET('R'!$A$1,P!$D$7+$A84,D$13)</f>
        <v>Foil Cond: AL/CU..:</v>
      </c>
      <c r="E84" t="str">
        <f ca="1">OFFSET('R'!$A$1,P!$D$7+$A84,E$13)</f>
        <v>10.85 / 22.56</v>
      </c>
      <c r="F84" t="str">
        <f ca="1">OFFSET('R'!$A$1,P!$D$7+$A84,F$13)</f>
        <v>Mineral/Silicone..</v>
      </c>
      <c r="G84" t="str">
        <f ca="1">OFFSET('R'!$A$1,P!$D$7+$A84,G$13)</f>
        <v>:</v>
      </c>
      <c r="H84" t="str">
        <f ca="1">OFFSET('R'!$A$1,P!$D$7+$A84,H$13)</f>
        <v>1.39 /  6.12</v>
      </c>
    </row>
    <row r="85" spans="1:9" x14ac:dyDescent="0.2">
      <c r="A85">
        <f t="shared" si="6"/>
        <v>8</v>
      </c>
      <c r="B85" t="str">
        <f ca="1">OFFSET('R'!$A$1,P!$D$7+$A85,B$13)</f>
        <v>Max No Load/Load..:</v>
      </c>
      <c r="C85" t="str">
        <f ca="1">OFFSET('R'!$A$1,P!$D$7+$A85,C$13)</f>
        <v>227 /    1560</v>
      </c>
      <c r="D85" t="str">
        <f ca="1">OFFSET('R'!$A$1,P!$D$7+$A85,D$13)</f>
        <v>LME/1000 (CU/AL)..:</v>
      </c>
      <c r="E85" t="str">
        <f ca="1">OFFSET('R'!$A$1,P!$D$7+$A85,E$13)</f>
        <v>0 /        0</v>
      </c>
      <c r="F85" t="str">
        <f ca="1">OFFSET('R'!$A$1,P!$D$7+$A85,F$13)</f>
        <v>Case Steel/Cooling</v>
      </c>
      <c r="G85" t="str">
        <f ca="1">OFFSET('R'!$A$1,P!$D$7+$A85,G$13)</f>
        <v>:</v>
      </c>
      <c r="H85" t="str">
        <f ca="1">OFFSET('R'!$A$1,P!$D$7+$A85,H$13)</f>
        <v>1.61 /  1.71</v>
      </c>
    </row>
    <row r="86" spans="1:9" x14ac:dyDescent="0.2">
      <c r="A86">
        <f t="shared" si="6"/>
        <v>9</v>
      </c>
      <c r="B86" t="str">
        <f ca="1">OFFSET('R'!$A$1,P!$D$7+$A86,B$13)</f>
        <v>-------------------</v>
      </c>
      <c r="C86" t="str">
        <f ca="1">OFFSET('R'!$A$1,P!$D$7+$A86,C$13)</f>
        <v>--------------------</v>
      </c>
      <c r="D86" t="str">
        <f ca="1">OFFSET('R'!$A$1,P!$D$7+$A86,D$13)</f>
        <v>WEIGHTS, DIMENSIONS</v>
      </c>
      <c r="E86" t="str">
        <f ca="1">OFFSET('R'!$A$1,P!$D$7+$A86,E$13)</f>
        <v>, AND COOLING (RIBS)</v>
      </c>
      <c r="F86" t="str">
        <f ca="1">OFFSET('R'!$A$1,P!$D$7+$A86,F$13)</f>
        <v>------------------</v>
      </c>
      <c r="G86" t="str">
        <f ca="1">OFFSET('R'!$A$1,P!$D$7+$A86,G$13)</f>
        <v>-</v>
      </c>
      <c r="H86" t="str">
        <f ca="1">OFFSET('R'!$A$1,P!$D$7+$A86,H$13)</f>
        <v>--------------------</v>
      </c>
    </row>
    <row r="87" spans="1:9" x14ac:dyDescent="0.2">
      <c r="A87">
        <f t="shared" si="6"/>
        <v>10</v>
      </c>
      <c r="B87" t="str">
        <f ca="1">OFFSET('R'!$A$1,P!$D$7+$A87,B$13)</f>
        <v>Active Part Weight:</v>
      </c>
      <c r="C87" t="str">
        <f ca="1">OFFSET('R'!$A$1,P!$D$7+$A87,C$13)</f>
        <v>414 kg</v>
      </c>
      <c r="D87">
        <f ca="1">OFFSET('R'!$A$1,P!$D$7+$A87,D$13)</f>
        <v>0</v>
      </c>
      <c r="E87">
        <f ca="1">OFFSET('R'!$A$1,P!$D$7+$A87,E$13)</f>
        <v>0</v>
      </c>
      <c r="F87" t="str">
        <f ca="1">OFFSET('R'!$A$1,P!$D$7+$A87,F$13)</f>
        <v>C&amp;C Dim: Ht/Lgth..</v>
      </c>
      <c r="G87" t="str">
        <f ca="1">OFFSET('R'!$A$1,P!$D$7+$A87,G$13)</f>
        <v>:</v>
      </c>
      <c r="H87" t="str">
        <f ca="1">OFFSET('R'!$A$1,P!$D$7+$A87,H$13)</f>
        <v>492.00/ 858.55 mm</v>
      </c>
    </row>
    <row r="88" spans="1:9" x14ac:dyDescent="0.2">
      <c r="A88">
        <f t="shared" si="6"/>
        <v>11</v>
      </c>
      <c r="B88" t="str">
        <f ca="1">OFFSET('R'!$A$1,P!$D$7+$A88,B$13)</f>
        <v>Clamp &amp; Brace Wt..:</v>
      </c>
      <c r="C88" t="str">
        <f ca="1">OFFSET('R'!$A$1,P!$D$7+$A88,C$13)</f>
        <v>41 kg</v>
      </c>
      <c r="D88" t="str">
        <f ca="1">OFFSET('R'!$A$1,P!$D$7+$A88,D$13)</f>
        <v>H-L Barrier Weight:</v>
      </c>
      <c r="E88" t="str">
        <f ca="1">OFFSET('R'!$A$1,P!$D$7+$A88,E$13)</f>
        <v>4.31 kg</v>
      </c>
      <c r="F88">
        <f ca="1">OFFSET('R'!$A$1,P!$D$7+$A88,F$13)</f>
        <v>0</v>
      </c>
      <c r="G88">
        <f ca="1">OFFSET('R'!$A$1,P!$D$7+$A88,G$13)</f>
        <v>0</v>
      </c>
      <c r="H88">
        <f ca="1">OFFSET('R'!$A$1,P!$D$7+$A88,H$13)</f>
        <v>0</v>
      </c>
    </row>
    <row r="90" spans="1:9" x14ac:dyDescent="0.2">
      <c r="A90" s="35" t="str">
        <f>B8</f>
        <v>Weights &amp; Dimensions</v>
      </c>
      <c r="B90" s="33"/>
      <c r="C90" s="33"/>
      <c r="D90" s="33"/>
      <c r="E90" s="33"/>
      <c r="F90" s="33"/>
      <c r="G90" s="33"/>
      <c r="H90" s="33"/>
      <c r="I90" s="1"/>
    </row>
    <row r="91" spans="1:9" x14ac:dyDescent="0.2">
      <c r="A91">
        <v>-1</v>
      </c>
      <c r="B91" t="str">
        <f ca="1">OFFSET('R'!$A$44,P!$D$8+$A91,B$13)</f>
        <v>-------------------</v>
      </c>
      <c r="C91" t="str">
        <f ca="1">OFFSET('R'!$A$44,P!$D$8+$A91,C$13)</f>
        <v>--------------------</v>
      </c>
      <c r="D91" t="str">
        <f ca="1">OFFSET('R'!$A$44,P!$D$8+$A91,D$13)</f>
        <v>WEIGHTS, DIMENSIONS</v>
      </c>
      <c r="E91" t="str">
        <f ca="1">OFFSET('R'!$A$44,P!$D$8+$A91,E$13)</f>
        <v>, AND COOLING (RIBS)</v>
      </c>
      <c r="F91" t="str">
        <f ca="1">OFFSET('R'!$A$44,P!$D$8+$A91,F$13)</f>
        <v>------------------</v>
      </c>
      <c r="G91" t="str">
        <f ca="1">OFFSET('R'!$A$44,P!$D$8+$A91,G$13)</f>
        <v>-</v>
      </c>
      <c r="H91" t="str">
        <f ca="1">OFFSET('R'!$A$44,P!$D$8+$A91,H$13)</f>
        <v>--------------------</v>
      </c>
    </row>
    <row r="92" spans="1:9" x14ac:dyDescent="0.2">
      <c r="A92">
        <f t="shared" ref="A92:A100" si="7">A91+1</f>
        <v>0</v>
      </c>
      <c r="B92" t="str">
        <f ca="1">OFFSET('R'!$A$44,P!$D$8+$A92,B$13)</f>
        <v>Active Part Weight:</v>
      </c>
      <c r="C92" t="str">
        <f ca="1">OFFSET('R'!$A$44,P!$D$8+$A92,C$13)</f>
        <v>414 kg</v>
      </c>
      <c r="D92">
        <f ca="1">OFFSET('R'!$A$44,P!$D$8+$A92,D$13)</f>
        <v>0</v>
      </c>
      <c r="E92">
        <f ca="1">OFFSET('R'!$A$44,P!$D$8+$A92,E$13)</f>
        <v>0</v>
      </c>
      <c r="F92" t="str">
        <f ca="1">OFFSET('R'!$A$44,P!$D$8+$A92,F$13)</f>
        <v>C&amp;C Dim: Ht/Lgth..</v>
      </c>
      <c r="G92" t="str">
        <f ca="1">OFFSET('R'!$A$44,P!$D$8+$A92,G$13)</f>
        <v>:</v>
      </c>
      <c r="H92" t="str">
        <f ca="1">OFFSET('R'!$A$44,P!$D$8+$A92,H$13)</f>
        <v>492.00/ 858.55 mm</v>
      </c>
    </row>
    <row r="93" spans="1:9" x14ac:dyDescent="0.2">
      <c r="A93">
        <f t="shared" si="7"/>
        <v>1</v>
      </c>
      <c r="B93" t="str">
        <f ca="1">OFFSET('R'!$A$44,P!$D$8+$A93,B$13)</f>
        <v>Clamp &amp; Brace Wt..:</v>
      </c>
      <c r="C93" t="str">
        <f ca="1">OFFSET('R'!$A$44,P!$D$8+$A93,C$13)</f>
        <v>41 kg</v>
      </c>
      <c r="D93" t="str">
        <f ca="1">OFFSET('R'!$A$44,P!$D$8+$A93,D$13)</f>
        <v>H-L Barrier Weight:</v>
      </c>
      <c r="E93" t="str">
        <f ca="1">OFFSET('R'!$A$44,P!$D$8+$A93,E$13)</f>
        <v>4.31 kg</v>
      </c>
      <c r="F93">
        <f ca="1">OFFSET('R'!$A$44,P!$D$8+$A93,F$13)</f>
        <v>0</v>
      </c>
      <c r="G93">
        <f ca="1">OFFSET('R'!$A$44,P!$D$8+$A93,G$13)</f>
        <v>0</v>
      </c>
      <c r="H93">
        <f ca="1">OFFSET('R'!$A$44,P!$D$8+$A93,H$13)</f>
        <v>0</v>
      </c>
    </row>
    <row r="94" spans="1:9" x14ac:dyDescent="0.2">
      <c r="A94">
        <f t="shared" si="7"/>
        <v>2</v>
      </c>
      <c r="B94" t="str">
        <f ca="1">OFFSET('R'!$A$44,P!$D$8+$A94,B$13)</f>
        <v>Mineral Oil Weight:</v>
      </c>
      <c r="C94" t="str">
        <f ca="1">OFFSET('R'!$A$44,P!$D$8+$A94,C$13)</f>
        <v>295 kg</v>
      </c>
      <c r="D94" t="str">
        <f ca="1">OFFSET('R'!$A$44,P!$D$8+$A94,D$13)</f>
        <v>Ribs-Press/Weight.:</v>
      </c>
      <c r="E94" t="str">
        <f ca="1">OFFSET('R'!$A$44,P!$D$8+$A94,E$13)</f>
        <v>0.16 kp/cm2    79</v>
      </c>
      <c r="F94" t="str">
        <f ca="1">OFFSET('R'!$A$44,P!$D$8+$A94,F$13)</f>
        <v>Rib Height:1,2,3,4</v>
      </c>
      <c r="G94" t="str">
        <f ca="1">OFFSET('R'!$A$44,P!$D$8+$A94,G$13)</f>
        <v>:</v>
      </c>
      <c r="H94" t="str">
        <f ca="1">OFFSET('R'!$A$44,P!$D$8+$A94,H$13)</f>
        <v>600/ 600/ 600/ 600</v>
      </c>
    </row>
    <row r="95" spans="1:9" x14ac:dyDescent="0.2">
      <c r="A95">
        <f t="shared" si="7"/>
        <v>3</v>
      </c>
      <c r="B95" t="str">
        <f ca="1">OFFSET('R'!$A$44,P!$D$8+$A95,B$13)</f>
        <v>Bus bar/TC Weight.:</v>
      </c>
      <c r="C95" t="str">
        <f ca="1">OFFSET('R'!$A$44,P!$D$8+$A95,C$13)</f>
        <v>1/     0 kg</v>
      </c>
      <c r="D95" t="str">
        <f ca="1">OFFSET('R'!$A$44,P!$D$8+$A95,D$13)</f>
        <v>Rib Pitch: 1,2,3,4:</v>
      </c>
      <c r="E95" t="str">
        <f ca="1">OFFSET('R'!$A$44,P!$D$8+$A95,E$13)</f>
        <v>85/ 100/  85/ 100</v>
      </c>
      <c r="F95" t="str">
        <f ca="1">OFFSET('R'!$A$44,P!$D$8+$A95,F$13)</f>
        <v>No of Ribs:1,2,3,4</v>
      </c>
      <c r="G95" t="str">
        <f ca="1">OFFSET('R'!$A$44,P!$D$8+$A95,G$13)</f>
        <v>:</v>
      </c>
      <c r="H95" t="str">
        <f ca="1">OFFSET('R'!$A$44,P!$D$8+$A95,H$13)</f>
        <v>12/   5/  12/   5</v>
      </c>
    </row>
    <row r="96" spans="1:9" x14ac:dyDescent="0.2">
      <c r="A96">
        <f t="shared" si="7"/>
        <v>4</v>
      </c>
      <c r="B96" t="str">
        <f ca="1">OFFSET('R'!$A$44,P!$D$8+$A96,B$13)</f>
        <v>Cov/Case &amp; Cooling:</v>
      </c>
      <c r="C96" t="str">
        <f ca="1">OFFSET('R'!$A$44,P!$D$8+$A96,C$13)</f>
        <v>23/   106 kg</v>
      </c>
      <c r="D96" t="str">
        <f ca="1">OFFSET('R'!$A$44,P!$D$8+$A96,D$13)</f>
        <v>Rib Depth: 1,2,3,4:</v>
      </c>
      <c r="E96" t="str">
        <f ca="1">OFFSET('R'!$A$44,P!$D$8+$A96,E$13)</f>
        <v>210/  50/ 210/  50</v>
      </c>
      <c r="F96" t="str">
        <f ca="1">OFFSET('R'!$A$44,P!$D$8+$A96,F$13)</f>
        <v>Rib Pan Wd:1,2,3,4</v>
      </c>
      <c r="G96" t="str">
        <f ca="1">OFFSET('R'!$A$44,P!$D$8+$A96,G$13)</f>
        <v>:</v>
      </c>
      <c r="H96" t="str">
        <f ca="1">OFFSET('R'!$A$44,P!$D$8+$A96,H$13)</f>
        <v>1035/ 481/1035/ 481</v>
      </c>
    </row>
    <row r="97" spans="1:9" x14ac:dyDescent="0.2">
      <c r="A97">
        <f t="shared" si="7"/>
        <v>5</v>
      </c>
      <c r="B97" t="str">
        <f ca="1">OFFSET('R'!$A$44,P!$D$8+$A97,B$13)</f>
        <v>Total Weight......:</v>
      </c>
      <c r="C97" t="str">
        <f ca="1">OFFSET('R'!$A$44,P!$D$8+$A97,C$13)</f>
        <v>882 kg</v>
      </c>
      <c r="D97" t="str">
        <f ca="1">OFFSET('R'!$A$44,P!$D$8+$A97,D$13)</f>
        <v>Rib Thick: 1,2,3,4:</v>
      </c>
      <c r="E97" t="str">
        <f ca="1">OFFSET('R'!$A$44,P!$D$8+$A97,E$13)</f>
        <v>1.20/1.20/1.20/1.20</v>
      </c>
      <c r="F97" t="str">
        <f ca="1">OFFSET('R'!$A$44,P!$D$8+$A97,F$13)</f>
        <v>Case: Lt/Wd/Ht(mm)</v>
      </c>
      <c r="G97" t="str">
        <f ca="1">OFFSET('R'!$A$44,P!$D$8+$A97,G$13)</f>
        <v>:</v>
      </c>
      <c r="H97" t="str">
        <f ca="1">OFFSET('R'!$A$44,P!$D$8+$A97,H$13)</f>
        <v>1034.5x 480.7x 802.0</v>
      </c>
    </row>
    <row r="98" spans="1:9" x14ac:dyDescent="0.2">
      <c r="A98">
        <f t="shared" si="7"/>
        <v>6</v>
      </c>
      <c r="B98" t="str">
        <f ca="1">OFFSET('R'!$A$44,P!$D$8+$A98,B$13)</f>
        <v>-------------------</v>
      </c>
      <c r="C98" t="str">
        <f ca="1">OFFSET('R'!$A$44,P!$D$8+$A98,C$13)</f>
        <v>--------------------</v>
      </c>
      <c r="D98" t="str">
        <f ca="1">OFFSET('R'!$A$44,P!$D$8+$A98,D$13)</f>
        <v>------PRICE &amp; COST</v>
      </c>
      <c r="E98" t="str">
        <f ca="1">OFFSET('R'!$A$44,P!$D$8+$A98,E$13)</f>
        <v>IN USD UNITS -------</v>
      </c>
      <c r="F98" t="str">
        <f ca="1">OFFSET('R'!$A$44,P!$D$8+$A98,F$13)</f>
        <v>------------------</v>
      </c>
      <c r="G98" t="str">
        <f ca="1">OFFSET('R'!$A$44,P!$D$8+$A98,G$13)</f>
        <v>-</v>
      </c>
      <c r="H98" t="str">
        <f ca="1">OFFSET('R'!$A$44,P!$D$8+$A98,H$13)</f>
        <v>--------------------</v>
      </c>
    </row>
    <row r="99" spans="1:9" x14ac:dyDescent="0.2">
      <c r="A99">
        <f t="shared" si="7"/>
        <v>7</v>
      </c>
      <c r="B99" t="str">
        <f ca="1">OFFSET('R'!$A$44,P!$D$8+$A99,B$13)</f>
        <v>Core Cost.........:</v>
      </c>
      <c r="C99" t="str">
        <f ca="1">OFFSET('R'!$A$44,P!$D$8+$A99,C$13)</f>
        <v>1615</v>
      </c>
      <c r="D99" t="str">
        <f ca="1">OFFSET('R'!$A$44,P!$D$8+$A99,D$13)</f>
        <v>HV / LV Coil Cost.:</v>
      </c>
      <c r="E99" t="str">
        <f ca="1">OFFSET('R'!$A$44,P!$D$8+$A99,E$13)</f>
        <v>1173/      641</v>
      </c>
      <c r="F99" t="str">
        <f ca="1">OFFSET('R'!$A$44,P!$D$8+$A99,F$13)</f>
        <v>Labor &amp; VOH/Hours.</v>
      </c>
      <c r="G99" t="str">
        <f ca="1">OFFSET('R'!$A$44,P!$D$8+$A99,G$13)</f>
        <v>:</v>
      </c>
      <c r="H99" t="str">
        <f ca="1">OFFSET('R'!$A$44,P!$D$8+$A99,H$13)</f>
        <v>0 /   0</v>
      </c>
    </row>
    <row r="100" spans="1:9" x14ac:dyDescent="0.2">
      <c r="A100">
        <f t="shared" si="7"/>
        <v>8</v>
      </c>
      <c r="B100" t="str">
        <f ca="1">OFFSET('R'!$A$44,P!$D$8+$A100,B$13)</f>
        <v>Case/Cooling Cost.:</v>
      </c>
      <c r="C100" t="str">
        <f ca="1">OFFSET('R'!$A$44,P!$D$8+$A100,C$13)</f>
        <v>43/     135</v>
      </c>
      <c r="D100" t="str">
        <f ca="1">OFFSET('R'!$A$44,P!$D$8+$A100,D$13)</f>
        <v>Bracing Cost......:</v>
      </c>
      <c r="E100" t="str">
        <f ca="1">OFFSET('R'!$A$44,P!$D$8+$A100,E$13)</f>
        <v>67</v>
      </c>
      <c r="F100" t="str">
        <f ca="1">OFFSET('R'!$A$44,P!$D$8+$A100,F$13)</f>
        <v>Design Matl-Cost..</v>
      </c>
      <c r="G100" t="str">
        <f ca="1">OFFSET('R'!$A$44,P!$D$8+$A100,G$13)</f>
        <v>:</v>
      </c>
      <c r="H100" t="str">
        <f ca="1">OFFSET('R'!$A$44,P!$D$8+$A100,H$13)</f>
        <v>4310</v>
      </c>
    </row>
    <row r="102" spans="1:9" x14ac:dyDescent="0.2">
      <c r="A102" s="35" t="str">
        <f>B9</f>
        <v>Prices</v>
      </c>
      <c r="B102" s="33"/>
      <c r="C102" s="33"/>
      <c r="D102" s="33"/>
      <c r="E102" s="33"/>
      <c r="F102" s="33"/>
      <c r="G102" s="33"/>
      <c r="H102" s="33"/>
      <c r="I102" s="1"/>
    </row>
    <row r="103" spans="1:9" x14ac:dyDescent="0.2">
      <c r="A103">
        <v>6</v>
      </c>
      <c r="B103" t="str">
        <f ca="1">OFFSET('R'!$A$1,P!$D$9+$A103,B$13)</f>
        <v>-------------------</v>
      </c>
      <c r="C103" t="str">
        <f ca="1">OFFSET('R'!$A$1,P!$D$9+$A103,C$13)</f>
        <v>--------------------</v>
      </c>
      <c r="D103" t="str">
        <f ca="1">OFFSET('R'!$A$1,P!$D$9+$A103,D$13)</f>
        <v>------PRICE &amp; COST</v>
      </c>
      <c r="E103" t="str">
        <f ca="1">OFFSET('R'!$A$1,P!$D$9+$A103,E$13)</f>
        <v>IN USD UNITS -------</v>
      </c>
      <c r="F103" t="str">
        <f ca="1">OFFSET('R'!$A$1,P!$D$9+$A103,F$13)</f>
        <v>------------------</v>
      </c>
      <c r="G103" t="str">
        <f ca="1">OFFSET('R'!$A$1,P!$D$9+$A103,G$13)</f>
        <v>-</v>
      </c>
      <c r="H103" t="str">
        <f ca="1">OFFSET('R'!$A$1,P!$D$9+$A103,H$13)</f>
        <v>--------------------</v>
      </c>
    </row>
    <row r="104" spans="1:9" x14ac:dyDescent="0.2">
      <c r="A104">
        <f t="shared" ref="A104:A110" si="8">A103+1</f>
        <v>7</v>
      </c>
      <c r="B104" t="str">
        <f ca="1">OFFSET('R'!$A$1,P!$D$9+$A104,B$13)</f>
        <v>Core Cost.........:</v>
      </c>
      <c r="C104" t="str">
        <f ca="1">OFFSET('R'!$A$1,P!$D$9+$A104,C$13)</f>
        <v>1615</v>
      </c>
      <c r="D104" t="str">
        <f ca="1">OFFSET('R'!$A$1,P!$D$9+$A104,D$13)</f>
        <v>HV / LV Coil Cost.:</v>
      </c>
      <c r="E104" t="str">
        <f ca="1">OFFSET('R'!$A$1,P!$D$9+$A104,E$13)</f>
        <v>1173/      641</v>
      </c>
      <c r="F104" t="str">
        <f ca="1">OFFSET('R'!$A$1,P!$D$9+$A104,F$13)</f>
        <v>Labor &amp; VOH/Hours.</v>
      </c>
      <c r="G104" t="str">
        <f ca="1">OFFSET('R'!$A$1,P!$D$9+$A104,G$13)</f>
        <v>:</v>
      </c>
      <c r="H104" t="str">
        <f ca="1">OFFSET('R'!$A$1,P!$D$9+$A104,H$13)</f>
        <v>0 /   0</v>
      </c>
    </row>
    <row r="105" spans="1:9" x14ac:dyDescent="0.2">
      <c r="A105">
        <f t="shared" si="8"/>
        <v>8</v>
      </c>
      <c r="B105" t="str">
        <f ca="1">OFFSET('R'!$A$1,P!$D$9+$A105,B$13)</f>
        <v>Case/Cooling Cost.:</v>
      </c>
      <c r="C105" t="str">
        <f ca="1">OFFSET('R'!$A$1,P!$D$9+$A105,C$13)</f>
        <v>43/     135</v>
      </c>
      <c r="D105" t="str">
        <f ca="1">OFFSET('R'!$A$1,P!$D$9+$A105,D$13)</f>
        <v>Bracing Cost......:</v>
      </c>
      <c r="E105" t="str">
        <f ca="1">OFFSET('R'!$A$1,P!$D$9+$A105,E$13)</f>
        <v>67</v>
      </c>
      <c r="F105" t="str">
        <f ca="1">OFFSET('R'!$A$1,P!$D$9+$A105,F$13)</f>
        <v>Design Matl-Cost..</v>
      </c>
      <c r="G105" t="str">
        <f ca="1">OFFSET('R'!$A$1,P!$D$9+$A105,G$13)</f>
        <v>:</v>
      </c>
      <c r="H105" t="str">
        <f ca="1">OFFSET('R'!$A$1,P!$D$9+$A105,H$13)</f>
        <v>4310</v>
      </c>
    </row>
    <row r="106" spans="1:9" x14ac:dyDescent="0.2">
      <c r="A106">
        <f t="shared" si="8"/>
        <v>9</v>
      </c>
      <c r="B106" t="str">
        <f ca="1">OFFSET('R'!$A$1,P!$D$9+$A106,B$13)</f>
        <v>Mineral Oil.......:</v>
      </c>
      <c r="C106" t="str">
        <f ca="1">OFFSET('R'!$A$1,P!$D$9+$A106,C$13)</f>
        <v>411</v>
      </c>
      <c r="D106" t="str">
        <f ca="1">OFFSET('R'!$A$1,P!$D$9+$A106,D$13)</f>
        <v>Assy and Misc.....:</v>
      </c>
      <c r="E106" t="str">
        <f ca="1">OFFSET('R'!$A$1,P!$D$9+$A106,E$13)</f>
        <v>225</v>
      </c>
      <c r="F106" t="str">
        <f ca="1">OFFSET('R'!$A$1,P!$D$9+$A106,F$13)</f>
        <v>Variable Cost.....</v>
      </c>
      <c r="G106" t="str">
        <f ca="1">OFFSET('R'!$A$1,P!$D$9+$A106,G$13)</f>
        <v>:</v>
      </c>
      <c r="H106" t="str">
        <f ca="1">OFFSET('R'!$A$1,P!$D$9+$A106,H$13)</f>
        <v>4310</v>
      </c>
    </row>
    <row r="107" spans="1:9" x14ac:dyDescent="0.2">
      <c r="A107">
        <f t="shared" si="8"/>
        <v>10</v>
      </c>
      <c r="B107" t="str">
        <f ca="1">OFFSET('R'!$A$1,P!$D$9+$A107,B$13)</f>
        <v>EVALUATED LOSSES..:</v>
      </c>
      <c r="C107" t="str">
        <f ca="1">OFFSET('R'!$A$1,P!$D$9+$A107,C$13)</f>
        <v>0</v>
      </c>
      <c r="D107" t="str">
        <f ca="1">OFFSET('R'!$A$1,P!$D$9+$A107,D$13)</f>
        <v>EVALUATED COST....:</v>
      </c>
      <c r="E107" t="str">
        <f ca="1">OFFSET('R'!$A$1,P!$D$9+$A107,E$13)</f>
        <v>4310</v>
      </c>
      <c r="F107" t="str">
        <f ca="1">OFFSET('R'!$A$1,P!$D$9+$A107,F$13)</f>
        <v>RECOMMENDED PRICE.</v>
      </c>
      <c r="G107" t="str">
        <f ca="1">OFFSET('R'!$A$1,P!$D$9+$A107,G$13)</f>
        <v>:</v>
      </c>
      <c r="H107" t="str">
        <f ca="1">OFFSET('R'!$A$1,P!$D$9+$A107,H$13)</f>
        <v>8620</v>
      </c>
    </row>
    <row r="108" spans="1:9" x14ac:dyDescent="0.2">
      <c r="A108">
        <f t="shared" si="8"/>
        <v>11</v>
      </c>
      <c r="B108" t="str">
        <f ca="1">OFFSET('R'!$A$1,P!$D$9+$A108,B$13)</f>
        <v>-------------------</v>
      </c>
      <c r="C108" t="str">
        <f ca="1">OFFSET('R'!$A$1,P!$D$9+$A108,C$13)</f>
        <v>--------------------</v>
      </c>
      <c r="D108" t="str">
        <f ca="1">OFFSET('R'!$A$1,P!$D$9+$A108,D$13)</f>
        <v>---------- PERFORMA</v>
      </c>
      <c r="E108" t="str">
        <f ca="1">OFFSET('R'!$A$1,P!$D$9+$A108,E$13)</f>
        <v>NCE DATA -----------</v>
      </c>
      <c r="F108" t="str">
        <f ca="1">OFFSET('R'!$A$1,P!$D$9+$A108,F$13)</f>
        <v>------------------</v>
      </c>
      <c r="G108" t="str">
        <f ca="1">OFFSET('R'!$A$1,P!$D$9+$A108,G$13)</f>
        <v>-</v>
      </c>
      <c r="H108" t="str">
        <f ca="1">OFFSET('R'!$A$1,P!$D$9+$A108,H$13)</f>
        <v>--------------------</v>
      </c>
    </row>
    <row r="109" spans="1:9" x14ac:dyDescent="0.2">
      <c r="A109">
        <f t="shared" si="8"/>
        <v>12</v>
      </c>
      <c r="B109" t="str">
        <f ca="1">OFFSET('R'!$A$1,P!$D$9+$A109,B$13)</f>
        <v>HV Wdg DC Losses..:</v>
      </c>
      <c r="C109" t="str">
        <f ca="1">OFFSET('R'!$A$1,P!$D$9+$A109,C$13)</f>
        <v>752  Watts</v>
      </c>
      <c r="D109" t="str">
        <f ca="1">OFFSET('R'!$A$1,P!$D$9+$A109,D$13)</f>
        <v>LV Wdg DC Losses..:</v>
      </c>
      <c r="E109" t="str">
        <f ca="1">OFFSET('R'!$A$1,P!$D$9+$A109,E$13)</f>
        <v>645  Watts</v>
      </c>
      <c r="F109">
        <f ca="1">OFFSET('R'!$A$1,P!$D$9+$A109,F$13)</f>
        <v>0</v>
      </c>
      <c r="G109">
        <f ca="1">OFFSET('R'!$A$1,P!$D$9+$A109,G$13)</f>
        <v>0</v>
      </c>
      <c r="H109">
        <f ca="1">OFFSET('R'!$A$1,P!$D$9+$A109,H$13)</f>
        <v>0</v>
      </c>
    </row>
    <row r="110" spans="1:9" x14ac:dyDescent="0.2">
      <c r="A110">
        <f t="shared" si="8"/>
        <v>13</v>
      </c>
      <c r="B110" t="str">
        <f ca="1">OFFSET('R'!$A$1,P!$D$9+$A110,B$13)</f>
        <v>HV Watts (% Eddy).:</v>
      </c>
      <c r="C110" t="str">
        <f ca="1">OFFSET('R'!$A$1,P!$D$9+$A110,C$13)</f>
        <v>753 ( 0.1)</v>
      </c>
      <c r="D110" t="str">
        <f ca="1">OFFSET('R'!$A$1,P!$D$9+$A110,D$13)</f>
        <v>LV Watts (% Eddy).:</v>
      </c>
      <c r="E110" t="str">
        <f ca="1">OFFSET('R'!$A$1,P!$D$9+$A110,E$13)</f>
        <v>701 ( 7.6)</v>
      </c>
      <c r="F110" t="str">
        <f ca="1">OFFSET('R'!$A$1,P!$D$9+$A110,F$13)</f>
        <v>LV Bus Bar / Stray</v>
      </c>
      <c r="G110" t="str">
        <f ca="1">OFFSET('R'!$A$1,P!$D$9+$A110,G$13)</f>
        <v>:</v>
      </c>
      <c r="H110" t="str">
        <f ca="1">OFFSET('R'!$A$1,P!$D$9+$A110,H$13)</f>
        <v>10 /     60</v>
      </c>
    </row>
    <row r="112" spans="1:9" x14ac:dyDescent="0.2">
      <c r="A112" s="35" t="str">
        <f>B10</f>
        <v>Performance data</v>
      </c>
      <c r="B112" s="33"/>
      <c r="C112" s="33"/>
      <c r="D112" s="33"/>
      <c r="E112" s="33"/>
      <c r="F112" s="33"/>
      <c r="G112" s="33"/>
      <c r="H112" s="33"/>
      <c r="I112" s="1"/>
    </row>
    <row r="113" spans="1:9" x14ac:dyDescent="0.2">
      <c r="A113">
        <v>7</v>
      </c>
      <c r="B113" t="str">
        <f ca="1">OFFSET('R'!$A$1,P!$D$10+$A113,B$13)</f>
        <v>-------------------</v>
      </c>
      <c r="C113" t="str">
        <f ca="1">OFFSET('R'!$A$1,P!$D$10+$A113,C$13)</f>
        <v>--------------------</v>
      </c>
      <c r="D113" t="str">
        <f ca="1">OFFSET('R'!$A$1,P!$D$10+$A113,D$13)</f>
        <v>---------- PERFORMA</v>
      </c>
      <c r="E113" t="str">
        <f ca="1">OFFSET('R'!$A$1,P!$D$10+$A113,E$13)</f>
        <v>NCE DATA -----------</v>
      </c>
      <c r="F113" t="str">
        <f ca="1">OFFSET('R'!$A$1,P!$D$10+$A113,F$13)</f>
        <v>------------------</v>
      </c>
      <c r="G113" t="str">
        <f ca="1">OFFSET('R'!$A$1,P!$D$10+$A113,G$13)</f>
        <v>-</v>
      </c>
      <c r="H113" t="str">
        <f ca="1">OFFSET('R'!$A$1,P!$D$10+$A113,H$13)</f>
        <v>--------------------</v>
      </c>
    </row>
    <row r="114" spans="1:9" x14ac:dyDescent="0.2">
      <c r="A114">
        <f t="shared" ref="A114:A119" si="9">A113+1</f>
        <v>8</v>
      </c>
      <c r="B114" t="str">
        <f ca="1">OFFSET('R'!$A$1,P!$D$10+$A114,B$13)</f>
        <v>HV Wdg DC Losses..:</v>
      </c>
      <c r="C114" t="str">
        <f ca="1">OFFSET('R'!$A$1,P!$D$10+$A114,C$13)</f>
        <v>752  Watts</v>
      </c>
      <c r="D114" t="str">
        <f ca="1">OFFSET('R'!$A$1,P!$D$10+$A114,D$13)</f>
        <v>LV Wdg DC Losses..:</v>
      </c>
      <c r="E114" t="str">
        <f ca="1">OFFSET('R'!$A$1,P!$D$10+$A114,E$13)</f>
        <v>645  Watts</v>
      </c>
      <c r="F114">
        <f ca="1">OFFSET('R'!$A$1,P!$D$10+$A114,F$13)</f>
        <v>0</v>
      </c>
      <c r="G114">
        <f ca="1">OFFSET('R'!$A$1,P!$D$10+$A114,G$13)</f>
        <v>0</v>
      </c>
      <c r="H114">
        <f ca="1">OFFSET('R'!$A$1,P!$D$10+$A114,H$13)</f>
        <v>0</v>
      </c>
    </row>
    <row r="115" spans="1:9" x14ac:dyDescent="0.2">
      <c r="A115">
        <f t="shared" si="9"/>
        <v>9</v>
      </c>
      <c r="B115" t="str">
        <f ca="1">OFFSET('R'!$A$1,P!$D$10+$A115,B$13)</f>
        <v>HV Watts (% Eddy).:</v>
      </c>
      <c r="C115" t="str">
        <f ca="1">OFFSET('R'!$A$1,P!$D$10+$A115,C$13)</f>
        <v>753 ( 0.1)</v>
      </c>
      <c r="D115" t="str">
        <f ca="1">OFFSET('R'!$A$1,P!$D$10+$A115,D$13)</f>
        <v>LV Watts (% Eddy).:</v>
      </c>
      <c r="E115" t="str">
        <f ca="1">OFFSET('R'!$A$1,P!$D$10+$A115,E$13)</f>
        <v>701 ( 7.6)</v>
      </c>
      <c r="F115" t="str">
        <f ca="1">OFFSET('R'!$A$1,P!$D$10+$A115,F$13)</f>
        <v>LV Bus Bar / Stray</v>
      </c>
      <c r="G115" t="str">
        <f ca="1">OFFSET('R'!$A$1,P!$D$10+$A115,G$13)</f>
        <v>:</v>
      </c>
      <c r="H115" t="str">
        <f ca="1">OFFSET('R'!$A$1,P!$D$10+$A115,H$13)</f>
        <v>10 /     60</v>
      </c>
    </row>
    <row r="116" spans="1:9" x14ac:dyDescent="0.2">
      <c r="A116">
        <f t="shared" si="9"/>
        <v>10</v>
      </c>
      <c r="B116" t="str">
        <f ca="1">OFFSET('R'!$A$1,P!$D$10+$A116,B$13)</f>
        <v>No Load Losses....:</v>
      </c>
      <c r="C116" t="str">
        <f ca="1">OFFSET('R'!$A$1,P!$D$10+$A116,C$13)</f>
        <v>226  Watts</v>
      </c>
      <c r="D116" t="str">
        <f ca="1">OFFSET('R'!$A$1,P!$D$10+$A116,D$13)</f>
        <v>Tot-Ld Watts(%Ed).:</v>
      </c>
      <c r="E116" t="str">
        <f ca="1">OFFSET('R'!$A$1,P!$D$10+$A116,E$13)</f>
        <v>1524 ( 8.2)</v>
      </c>
      <c r="F116" t="str">
        <f ca="1">OFFSET('R'!$A$1,P!$D$10+$A116,F$13)</f>
        <v>Total Losses(ONAN)</v>
      </c>
      <c r="G116" t="str">
        <f ca="1">OFFSET('R'!$A$1,P!$D$10+$A116,G$13)</f>
        <v>:</v>
      </c>
      <c r="H116" t="str">
        <f ca="1">OFFSET('R'!$A$1,P!$D$10+$A116,H$13)</f>
        <v>1750 @  75 C</v>
      </c>
    </row>
    <row r="117" spans="1:9" x14ac:dyDescent="0.2">
      <c r="A117">
        <f t="shared" si="9"/>
        <v>11</v>
      </c>
      <c r="B117" t="str">
        <f ca="1">OFFSET('R'!$A$1,P!$D$10+$A117,B$13)</f>
        <v>% X / % R / % Lead:</v>
      </c>
      <c r="C117" t="str">
        <f ca="1">OFFSET('R'!$A$1,P!$D$10+$A117,C$13)</f>
        <v>3.99/1.52/0.01 %</v>
      </c>
      <c r="D117" t="str">
        <f ca="1">OFFSET('R'!$A$1,P!$D$10+$A117,D$13)</f>
        <v>% Z (HV-LV-Lead)..:</v>
      </c>
      <c r="E117" t="str">
        <f ca="1">OFFSET('R'!$A$1,P!$D$10+$A117,E$13)</f>
        <v>4.273 %</v>
      </c>
      <c r="F117" t="str">
        <f ca="1">OFFSET('R'!$A$1,P!$D$10+$A117,F$13)</f>
        <v>TOP OIL RISE......</v>
      </c>
      <c r="G117" t="str">
        <f ca="1">OFFSET('R'!$A$1,P!$D$10+$A117,G$13)</f>
        <v>:</v>
      </c>
      <c r="H117" t="str">
        <f ca="1">OFFSET('R'!$A$1,P!$D$10+$A117,H$13)</f>
        <v>31.7 deg C</v>
      </c>
    </row>
    <row r="118" spans="1:9" x14ac:dyDescent="0.2">
      <c r="A118">
        <f t="shared" si="9"/>
        <v>12</v>
      </c>
      <c r="B118">
        <f ca="1">OFFSET('R'!$A$1,P!$D$10+$A118,B$13)</f>
        <v>0</v>
      </c>
      <c r="C118">
        <f ca="1">OFFSET('R'!$A$1,P!$D$10+$A118,C$13)</f>
        <v>0</v>
      </c>
      <c r="D118" t="str">
        <f ca="1">OFFSET('R'!$A$1,P!$D$10+$A118,D$13)</f>
        <v>% Z Guaranteed....:</v>
      </c>
      <c r="E118" t="str">
        <f ca="1">OFFSET('R'!$A$1,P!$D$10+$A118,E$13)</f>
        <v>4.500 %</v>
      </c>
      <c r="F118">
        <f ca="1">OFFSET('R'!$A$1,P!$D$10+$A118,F$13)</f>
        <v>0</v>
      </c>
      <c r="G118">
        <f ca="1">OFFSET('R'!$A$1,P!$D$10+$A118,G$13)</f>
        <v>0</v>
      </c>
      <c r="H118">
        <f ca="1">OFFSET('R'!$A$1,P!$D$10+$A118,H$13)</f>
        <v>0</v>
      </c>
    </row>
    <row r="119" spans="1:9" x14ac:dyDescent="0.2">
      <c r="A119">
        <f t="shared" si="9"/>
        <v>13</v>
      </c>
      <c r="B119" t="str">
        <f ca="1">OFFSET('R'!$A$1,P!$D$10+$A119,B$13)</f>
        <v>-------------------</v>
      </c>
      <c r="C119" t="str">
        <f ca="1">OFFSET('R'!$A$1,P!$D$10+$A119,C$13)</f>
        <v>--------------------</v>
      </c>
      <c r="D119" t="str">
        <f ca="1">OFFSET('R'!$A$1,P!$D$10+$A119,D$13)</f>
        <v>-------------------</v>
      </c>
      <c r="E119" t="str">
        <f ca="1">OFFSET('R'!$A$1,P!$D$10+$A119,E$13)</f>
        <v>--------------------</v>
      </c>
      <c r="F119" t="str">
        <f ca="1">OFFSET('R'!$A$1,P!$D$10+$A119,F$13)</f>
        <v>------------------</v>
      </c>
      <c r="G119" t="str">
        <f ca="1">OFFSET('R'!$A$1,P!$D$10+$A119,G$13)</f>
        <v>-</v>
      </c>
      <c r="H119" t="str">
        <f ca="1">OFFSET('R'!$A$1,P!$D$10+$A119,H$13)</f>
        <v>--------------------</v>
      </c>
    </row>
    <row r="121" spans="1:9" x14ac:dyDescent="0.2">
      <c r="A121" s="35" t="str">
        <f>B11</f>
        <v>Factors</v>
      </c>
      <c r="B121" s="33"/>
      <c r="C121" s="33"/>
      <c r="D121" s="33"/>
      <c r="E121" s="33"/>
      <c r="F121" s="33"/>
      <c r="G121" s="33"/>
      <c r="H121" s="33"/>
      <c r="I121" s="1"/>
    </row>
    <row r="122" spans="1:9" x14ac:dyDescent="0.2">
      <c r="A122">
        <v>8</v>
      </c>
      <c r="B122" t="str">
        <f ca="1">OFFSET('R'!$A$1,P!$D$11+$A122,B$13)</f>
        <v>-------------------</v>
      </c>
      <c r="C122" t="str">
        <f ca="1">OFFSET('R'!$A$1,P!$D$11+$A122,C$13)</f>
        <v>--------------------</v>
      </c>
      <c r="D122" t="str">
        <f ca="1">OFFSET('R'!$A$1,P!$D$11+$A122,D$13)</f>
        <v>-------------------</v>
      </c>
      <c r="E122" t="str">
        <f ca="1">OFFSET('R'!$A$1,P!$D$11+$A122,E$13)</f>
        <v>--------------------</v>
      </c>
      <c r="F122" t="str">
        <f ca="1">OFFSET('R'!$A$1,P!$D$11+$A122,F$13)</f>
        <v>------------------</v>
      </c>
      <c r="G122" t="str">
        <f ca="1">OFFSET('R'!$A$1,P!$D$11+$A122,G$13)</f>
        <v>-</v>
      </c>
      <c r="H122" t="str">
        <f ca="1">OFFSET('R'!$A$1,P!$D$11+$A122,H$13)</f>
        <v>--------------------</v>
      </c>
    </row>
    <row r="123" spans="1:9" x14ac:dyDescent="0.2">
      <c r="A123">
        <f t="shared" ref="A123:A131" si="10">A122+1</f>
        <v>9</v>
      </c>
      <c r="B123" t="str">
        <f ca="1">OFFSET('R'!$A$1,P!$D$11+$A123,B$13)</f>
        <v>TES:  HV Axial &amp; Ra</v>
      </c>
      <c r="C123" t="str">
        <f ca="1">OFFSET('R'!$A$1,P!$D$11+$A123,C$13)</f>
        <v>d Factors -  1.000,</v>
      </c>
      <c r="D123" t="str">
        <f ca="1">OFFSET('R'!$A$1,P!$D$11+$A123,D$13)</f>
        <v>910     LV Rad Fact</v>
      </c>
      <c r="E123" t="str">
        <f ca="1">OFFSET('R'!$A$1,P!$D$11+$A123,E$13)</f>
        <v>or -   0.980     OPT</v>
      </c>
      <c r="F123" t="str">
        <f ca="1">OFFSET('R'!$A$1,P!$D$11+$A123,F$13)</f>
        <v>: (Min Evaluated C</v>
      </c>
      <c r="G123" t="str">
        <f ca="1">OFFSET('R'!$A$1,P!$D$11+$A123,G$13)</f>
        <v>o</v>
      </c>
      <c r="H123" t="str">
        <f ca="1">OFFSET('R'!$A$1,P!$D$11+$A123,H$13)</f>
        <v>st )</v>
      </c>
    </row>
    <row r="124" spans="1:9" x14ac:dyDescent="0.2">
      <c r="A124">
        <f t="shared" si="10"/>
        <v>10</v>
      </c>
      <c r="B124" t="str">
        <f ca="1">OFFSET('R'!$A$1,P!$D$11+$A124,B$13)</f>
        <v>MARG/MULT.: &lt;</v>
      </c>
      <c r="C124" t="str">
        <f ca="1">OFFSET('R'!$A$1,P!$D$11+$A124,C$13)</f>
        <v>Rise&gt;: Top Oil=  0 H</v>
      </c>
      <c r="D124" t="str">
        <f ca="1">OFFSET('R'!$A$1,P!$D$11+$A124,D$13)</f>
        <v>0 L=  0 T=  0 &lt;Loss</v>
      </c>
      <c r="E124" t="str">
        <f ca="1">OFFSET('R'!$A$1,P!$D$11+$A124,E$13)</f>
        <v>&gt;: Core= 1.000 BusB=</v>
      </c>
      <c r="F124" t="str">
        <f ca="1">OFFSET('R'!$A$1,P!$D$11+$A124,F$13)</f>
        <v>1.0 Eddy H=   1.0</v>
      </c>
      <c r="G124" t="str">
        <f ca="1">OFFSET('R'!$A$1,P!$D$11+$A124,G$13)</f>
        <v>L</v>
      </c>
      <c r="H124" t="str">
        <f ca="1">OFFSET('R'!$A$1,P!$D$11+$A124,H$13)</f>
        <v>=   1.0 Stray=   1.0</v>
      </c>
    </row>
    <row r="125" spans="1:9" x14ac:dyDescent="0.2">
      <c r="A125">
        <f t="shared" si="10"/>
        <v>11</v>
      </c>
      <c r="B125" t="str">
        <f ca="1">OFFSET('R'!$A$1,P!$D$11+$A125,B$13)</f>
        <v>CORE: Std(NO</v>
      </c>
      <c r="C125" t="str">
        <f ca="1">OFFSET('R'!$A$1,P!$D$11+$A125,C$13)</f>
        <v>) Wds(YES) C-C(NO )</v>
      </c>
      <c r="D125" t="str">
        <f ca="1">OFFSET('R'!$A$1,P!$D$11+$A125,D$13)</f>
        <v>g(NO ),  COND: Foil</v>
      </c>
      <c r="E125" t="str">
        <f ca="1">OFFSET('R'!$A$1,P!$D$11+$A125,E$13)</f>
        <v>Tk(NO ),  CLEAR: Wd</v>
      </c>
      <c r="F125" t="str">
        <f ca="1">OFFSET('R'!$A$1,P!$D$11+$A125,F$13)</f>
        <v>O ),  CASE: Std(NO</v>
      </c>
      <c r="G125">
        <f ca="1">OFFSET('R'!$A$1,P!$D$11+$A125,G$13)</f>
        <v>0</v>
      </c>
      <c r="H125" t="str">
        <f ca="1">OFFSET('R'!$A$1,P!$D$11+$A125,H$13)</f>
        <v>)  CALC: Sh Cir(YES)</v>
      </c>
    </row>
    <row r="126" spans="1:9" x14ac:dyDescent="0.2">
      <c r="A126">
        <f t="shared" si="10"/>
        <v>12</v>
      </c>
      <c r="B126" t="str">
        <f ca="1">OFFSET('R'!$A$1,P!$D$11+$A126,B$13)</f>
        <v>Circuit Load</v>
      </c>
      <c r="C126" t="str">
        <f ca="1">OFFSET('R'!$A$1,P!$D$11+$A126,C$13)</f>
        <v>Factors:  HV= 1.000,</v>
      </c>
      <c r="D126" t="str">
        <f ca="1">OFFSET('R'!$A$1,P!$D$11+$A126,D$13)</f>
        <v>LV= 1.000,   TV= 1.</v>
      </c>
      <c r="E126" t="str">
        <f ca="1">OFFSET('R'!$A$1,P!$D$11+$A126,E$13)</f>
        <v>000</v>
      </c>
      <c r="F126">
        <f ca="1">OFFSET('R'!$A$1,P!$D$11+$A126,F$13)</f>
        <v>0</v>
      </c>
      <c r="G126">
        <f ca="1">OFFSET('R'!$A$1,P!$D$11+$A126,G$13)</f>
        <v>0</v>
      </c>
      <c r="H126">
        <f ca="1">OFFSET('R'!$A$1,P!$D$11+$A126,H$13)</f>
        <v>0</v>
      </c>
    </row>
    <row r="127" spans="1:9" x14ac:dyDescent="0.2">
      <c r="A127">
        <f t="shared" si="10"/>
        <v>13</v>
      </c>
      <c r="B127" t="str">
        <f ca="1">OFFSET('R'!$A$1,P!$D$11+$A127,B$13)</f>
        <v>Circuit Load</v>
      </c>
      <c r="C127" t="str">
        <f ca="1">OFFSET('R'!$A$1,P!$D$11+$A127,C$13)</f>
        <v>Factors:  HV= 1.000,</v>
      </c>
      <c r="D127" t="str">
        <f ca="1">OFFSET('R'!$A$1,P!$D$11+$A127,D$13)</f>
        <v>LV= 1.000,   TV= 1.</v>
      </c>
      <c r="E127" t="str">
        <f ca="1">OFFSET('R'!$A$1,P!$D$11+$A127,E$13)</f>
        <v>000</v>
      </c>
      <c r="F127">
        <f ca="1">OFFSET('R'!$A$1,P!$D$11+$A127,F$13)</f>
        <v>0</v>
      </c>
      <c r="G127">
        <f ca="1">OFFSET('R'!$A$1,P!$D$11+$A127,G$13)</f>
        <v>0</v>
      </c>
      <c r="H127">
        <f ca="1">OFFSET('R'!$A$1,P!$D$11+$A127,H$13)</f>
        <v>0</v>
      </c>
    </row>
    <row r="128" spans="1:9" x14ac:dyDescent="0.2">
      <c r="A128">
        <f t="shared" si="10"/>
        <v>14</v>
      </c>
      <c r="B128">
        <f ca="1">OFFSET('R'!$A$1,P!$D$11+$A128,B$13)</f>
        <v>0</v>
      </c>
      <c r="C128">
        <f ca="1">OFFSET('R'!$A$1,P!$D$11+$A128,C$13)</f>
        <v>0</v>
      </c>
      <c r="D128">
        <f ca="1">OFFSET('R'!$A$1,P!$D$11+$A128,D$13)</f>
        <v>0</v>
      </c>
      <c r="E128">
        <f ca="1">OFFSET('R'!$A$1,P!$D$11+$A128,E$13)</f>
        <v>0</v>
      </c>
      <c r="F128">
        <f ca="1">OFFSET('R'!$A$1,P!$D$11+$A128,F$13)</f>
        <v>0</v>
      </c>
      <c r="G128">
        <f ca="1">OFFSET('R'!$A$1,P!$D$11+$A128,G$13)</f>
        <v>0</v>
      </c>
      <c r="H128">
        <f ca="1">OFFSET('R'!$A$1,P!$D$11+$A128,H$13)</f>
        <v>0</v>
      </c>
    </row>
    <row r="129" spans="1:8" x14ac:dyDescent="0.2">
      <c r="A129">
        <f t="shared" si="10"/>
        <v>15</v>
      </c>
      <c r="B129" t="str">
        <f ca="1">OFFSET('R'!$A$1,P!$D$11+$A129,B$13)</f>
        <v>Using LTL Cor</v>
      </c>
      <c r="C129" t="str">
        <f ca="1">OFFSET('R'!$A$1,P!$D$11+$A129,C$13)</f>
        <v>e Loss Calculation T</v>
      </c>
      <c r="D129" t="str">
        <f ca="1">OFFSET('R'!$A$1,P!$D$11+$A129,D$13)</f>
        <v>nical Standard: &lt; Y</v>
      </c>
      <c r="E129" t="str">
        <f ca="1">OFFSET('R'!$A$1,P!$D$11+$A129,E$13)</f>
        <v>ES &gt;</v>
      </c>
      <c r="F129">
        <f ca="1">OFFSET('R'!$A$1,P!$D$11+$A129,F$13)</f>
        <v>0</v>
      </c>
      <c r="G129">
        <f ca="1">OFFSET('R'!$A$1,P!$D$11+$A129,G$13)</f>
        <v>0</v>
      </c>
      <c r="H129">
        <f ca="1">OFFSET('R'!$A$1,P!$D$11+$A129,H$13)</f>
        <v>0</v>
      </c>
    </row>
    <row r="130" spans="1:8" x14ac:dyDescent="0.2">
      <c r="A130">
        <f t="shared" si="10"/>
        <v>16</v>
      </c>
      <c r="B130" t="str">
        <f ca="1">OFFSET('R'!$A$1,P!$D$11+$A130,B$13)</f>
        <v>Using LTL Loa</v>
      </c>
      <c r="C130" t="str">
        <f ca="1">OFFSET('R'!$A$1,P!$D$11+$A130,C$13)</f>
        <v>d Loss Calculation T</v>
      </c>
      <c r="D130" t="str">
        <f ca="1">OFFSET('R'!$A$1,P!$D$11+$A130,D$13)</f>
        <v>nical Standard: &lt; N</v>
      </c>
      <c r="E130" t="str">
        <f ca="1">OFFSET('R'!$A$1,P!$D$11+$A130,E$13)</f>
        <v>O  &gt;</v>
      </c>
      <c r="F130">
        <f ca="1">OFFSET('R'!$A$1,P!$D$11+$A130,F$13)</f>
        <v>0</v>
      </c>
      <c r="G130">
        <f ca="1">OFFSET('R'!$A$1,P!$D$11+$A130,G$13)</f>
        <v>0</v>
      </c>
      <c r="H130">
        <f ca="1">OFFSET('R'!$A$1,P!$D$11+$A130,H$13)</f>
        <v>0</v>
      </c>
    </row>
    <row r="131" spans="1:8" x14ac:dyDescent="0.2">
      <c r="A131">
        <f t="shared" si="10"/>
        <v>17</v>
      </c>
      <c r="B131">
        <f ca="1">OFFSET('R'!$A$1,P!$D$11+$A131,B$13)</f>
        <v>0</v>
      </c>
      <c r="C131">
        <f ca="1">OFFSET('R'!$A$1,P!$D$11+$A131,C$13)</f>
        <v>0</v>
      </c>
      <c r="D131">
        <f ca="1">OFFSET('R'!$A$1,P!$D$11+$A131,D$13)</f>
        <v>0</v>
      </c>
      <c r="E131">
        <f ca="1">OFFSET('R'!$A$1,P!$D$11+$A131,E$13)</f>
        <v>0</v>
      </c>
      <c r="F131">
        <f ca="1">OFFSET('R'!$A$1,P!$D$11+$A131,F$13)</f>
        <v>0</v>
      </c>
      <c r="G131">
        <f ca="1">OFFSET('R'!$A$1,P!$D$11+$A131,G$13)</f>
        <v>0</v>
      </c>
      <c r="H131">
        <f ca="1">OFFSET('R'!$A$1,P!$D$11+$A131,H$13)</f>
        <v>0</v>
      </c>
    </row>
    <row r="132" spans="1:8" x14ac:dyDescent="0.2">
      <c r="A132" s="33"/>
      <c r="B132" s="33"/>
      <c r="C132" s="33"/>
      <c r="D132" s="33"/>
      <c r="E132" s="33"/>
      <c r="F132" s="33"/>
      <c r="G132" s="33"/>
      <c r="H132" s="33"/>
    </row>
  </sheetData>
  <phoneticPr fontId="0" type="noConversion"/>
  <printOptions headings="1"/>
  <pageMargins left="0" right="0" top="0" bottom="0" header="0" footer="0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O470"/>
  <sheetViews>
    <sheetView topLeftCell="A142" zoomScaleNormal="100" workbookViewId="0">
      <selection activeCell="F24" sqref="F24"/>
    </sheetView>
  </sheetViews>
  <sheetFormatPr defaultRowHeight="12.75" x14ac:dyDescent="0.2"/>
  <cols>
    <col min="1" max="1" width="27.85546875" customWidth="1"/>
    <col min="2" max="2" width="13.28515625" customWidth="1"/>
    <col min="3" max="3" width="9.7109375" customWidth="1"/>
    <col min="4" max="4" width="11.42578125" customWidth="1"/>
    <col min="5" max="5" width="19.28515625" customWidth="1"/>
    <col min="6" max="6" width="32.5703125" customWidth="1"/>
    <col min="7" max="7" width="13.7109375" customWidth="1"/>
    <col min="8" max="8" width="13" customWidth="1"/>
    <col min="9" max="10" width="9.7109375" customWidth="1"/>
    <col min="11" max="11" width="17.28515625" customWidth="1"/>
    <col min="12" max="12" width="13.7109375" customWidth="1"/>
  </cols>
  <sheetData>
    <row r="1" spans="1:12" s="2" customFormat="1" x14ac:dyDescent="0.2">
      <c r="A1" s="58"/>
      <c r="B1" s="59"/>
      <c r="C1" s="59"/>
      <c r="D1" s="60"/>
      <c r="E1" s="60"/>
      <c r="F1" s="60"/>
      <c r="G1" s="60"/>
      <c r="H1" s="60"/>
      <c r="I1" s="60"/>
      <c r="J1" s="60"/>
      <c r="K1" s="60"/>
      <c r="L1" s="60"/>
    </row>
    <row r="2" spans="1:12" ht="15.75" x14ac:dyDescent="0.25">
      <c r="A2" s="57" t="s">
        <v>236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73" customFormat="1" x14ac:dyDescent="0.2">
      <c r="A3" s="72" t="s">
        <v>237</v>
      </c>
      <c r="B3" s="72">
        <v>10</v>
      </c>
      <c r="C3" s="72"/>
    </row>
    <row r="4" spans="1:12" s="73" customFormat="1" x14ac:dyDescent="0.2">
      <c r="A4" s="72" t="s">
        <v>238</v>
      </c>
      <c r="B4" s="72">
        <v>10</v>
      </c>
    </row>
    <row r="5" spans="1:12" s="73" customFormat="1" x14ac:dyDescent="0.2">
      <c r="A5" s="72" t="s">
        <v>239</v>
      </c>
      <c r="B5" s="72">
        <v>30</v>
      </c>
    </row>
    <row r="6" spans="1:12" s="73" customFormat="1" x14ac:dyDescent="0.2">
      <c r="A6" s="72" t="s">
        <v>240</v>
      </c>
      <c r="B6" s="72">
        <v>100</v>
      </c>
    </row>
    <row r="7" spans="1:12" s="73" customFormat="1" x14ac:dyDescent="0.2">
      <c r="A7" s="72"/>
      <c r="B7" s="72"/>
    </row>
    <row r="8" spans="1:12" s="1" customFormat="1" x14ac:dyDescent="0.2">
      <c r="A8" s="21" t="s">
        <v>250</v>
      </c>
      <c r="B8" s="21" t="s">
        <v>251</v>
      </c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s="1" customFormat="1" x14ac:dyDescent="0.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s="73" customFormat="1" x14ac:dyDescent="0.2">
      <c r="A10" s="168" t="s">
        <v>246</v>
      </c>
      <c r="B10" s="173">
        <v>0</v>
      </c>
      <c r="C10" s="173">
        <v>0</v>
      </c>
      <c r="D10" s="52"/>
      <c r="E10" s="73">
        <v>2.5</v>
      </c>
    </row>
    <row r="11" spans="1:12" s="73" customFormat="1" x14ac:dyDescent="0.2">
      <c r="A11" s="168"/>
      <c r="B11" s="173">
        <v>0</v>
      </c>
      <c r="C11" s="173">
        <v>0</v>
      </c>
      <c r="D11" s="52"/>
      <c r="E11" s="168">
        <v>2.5</v>
      </c>
    </row>
    <row r="12" spans="1:12" s="73" customFormat="1" x14ac:dyDescent="0.2">
      <c r="A12" s="168" t="s">
        <v>198</v>
      </c>
      <c r="B12" s="173">
        <v>0</v>
      </c>
      <c r="C12" s="173">
        <v>0</v>
      </c>
      <c r="D12" s="52"/>
      <c r="E12" s="168">
        <v>2.5</v>
      </c>
      <c r="H12" s="288" t="s">
        <v>638</v>
      </c>
    </row>
    <row r="13" spans="1:12" s="73" customFormat="1" x14ac:dyDescent="0.2">
      <c r="A13" s="168" t="s">
        <v>299</v>
      </c>
      <c r="B13" s="173">
        <v>0</v>
      </c>
      <c r="C13" s="173">
        <v>0</v>
      </c>
      <c r="D13" s="52"/>
      <c r="E13" s="168">
        <v>2.5</v>
      </c>
    </row>
    <row r="14" spans="1:12" s="73" customFormat="1" x14ac:dyDescent="0.2">
      <c r="A14" s="168" t="s">
        <v>0</v>
      </c>
      <c r="B14" s="173">
        <v>0</v>
      </c>
      <c r="C14" s="173">
        <v>0</v>
      </c>
      <c r="D14" s="167"/>
      <c r="E14" s="168">
        <v>2.5</v>
      </c>
    </row>
    <row r="15" spans="1:12" s="73" customFormat="1" x14ac:dyDescent="0.2">
      <c r="A15" s="168" t="s">
        <v>1</v>
      </c>
      <c r="B15" s="173">
        <v>0</v>
      </c>
      <c r="C15" s="173">
        <v>0</v>
      </c>
      <c r="D15" s="53"/>
      <c r="E15" s="168">
        <v>2.5</v>
      </c>
    </row>
    <row r="16" spans="1:12" s="73" customFormat="1" x14ac:dyDescent="0.2">
      <c r="A16" s="169" t="s">
        <v>247</v>
      </c>
      <c r="B16" s="174">
        <v>0</v>
      </c>
      <c r="C16" s="174">
        <v>0</v>
      </c>
      <c r="D16" s="53"/>
      <c r="E16" s="169">
        <v>2.5</v>
      </c>
    </row>
    <row r="17" spans="1:12" s="73" customFormat="1" x14ac:dyDescent="0.2">
      <c r="A17" s="169" t="s">
        <v>241</v>
      </c>
      <c r="B17" s="174">
        <v>0</v>
      </c>
      <c r="C17" s="174">
        <v>0</v>
      </c>
      <c r="D17" s="53"/>
      <c r="E17" s="169">
        <v>2.5</v>
      </c>
    </row>
    <row r="18" spans="1:12" s="73" customFormat="1" x14ac:dyDescent="0.2">
      <c r="A18" s="170" t="s">
        <v>242</v>
      </c>
      <c r="B18" s="175">
        <v>0</v>
      </c>
      <c r="C18" s="175">
        <v>0</v>
      </c>
      <c r="D18" s="53"/>
      <c r="E18" s="170">
        <v>2.5</v>
      </c>
    </row>
    <row r="19" spans="1:12" s="73" customFormat="1" x14ac:dyDescent="0.2">
      <c r="A19" s="170" t="s">
        <v>243</v>
      </c>
      <c r="B19" s="175">
        <v>0</v>
      </c>
      <c r="C19" s="175">
        <v>0</v>
      </c>
      <c r="D19" s="53"/>
      <c r="E19" s="170">
        <v>2.5</v>
      </c>
    </row>
    <row r="20" spans="1:12" s="73" customFormat="1" x14ac:dyDescent="0.2">
      <c r="A20" s="170" t="s">
        <v>245</v>
      </c>
      <c r="B20" s="175">
        <v>0</v>
      </c>
      <c r="C20" s="175">
        <v>0</v>
      </c>
      <c r="D20" s="53"/>
      <c r="E20" s="170">
        <v>2.5</v>
      </c>
    </row>
    <row r="21" spans="1:12" s="73" customFormat="1" x14ac:dyDescent="0.2">
      <c r="A21" s="170" t="s">
        <v>244</v>
      </c>
      <c r="B21" s="175">
        <v>0</v>
      </c>
      <c r="C21" s="175">
        <v>0</v>
      </c>
      <c r="D21" s="52"/>
      <c r="E21" s="170">
        <v>2.5</v>
      </c>
    </row>
    <row r="22" spans="1:12" s="73" customFormat="1" x14ac:dyDescent="0.2">
      <c r="A22" s="171" t="s">
        <v>248</v>
      </c>
      <c r="B22" s="52">
        <v>0</v>
      </c>
      <c r="C22" s="52">
        <v>0</v>
      </c>
      <c r="D22" s="53"/>
      <c r="E22" s="171">
        <v>2.5</v>
      </c>
    </row>
    <row r="23" spans="1:12" s="73" customFormat="1" x14ac:dyDescent="0.2">
      <c r="A23" s="171" t="s">
        <v>300</v>
      </c>
      <c r="B23" s="52">
        <v>0</v>
      </c>
      <c r="C23" s="52">
        <v>0</v>
      </c>
      <c r="D23" s="53"/>
      <c r="E23" s="171">
        <v>2.5</v>
      </c>
    </row>
    <row r="24" spans="1:12" s="73" customFormat="1" x14ac:dyDescent="0.2">
      <c r="A24" s="171" t="s">
        <v>301</v>
      </c>
      <c r="B24" s="52">
        <v>0</v>
      </c>
      <c r="C24" s="52">
        <v>0</v>
      </c>
      <c r="D24" s="53"/>
      <c r="E24" s="171">
        <v>2.5</v>
      </c>
    </row>
    <row r="25" spans="1:12" s="73" customFormat="1" x14ac:dyDescent="0.2">
      <c r="A25" s="171" t="s">
        <v>637</v>
      </c>
      <c r="B25" s="52">
        <v>0</v>
      </c>
      <c r="C25" s="52">
        <v>0</v>
      </c>
      <c r="D25" s="53"/>
      <c r="E25" s="171">
        <v>2.5</v>
      </c>
    </row>
    <row r="26" spans="1:12" s="73" customFormat="1" x14ac:dyDescent="0.2">
      <c r="A26" s="171" t="s">
        <v>249</v>
      </c>
      <c r="B26" s="52">
        <v>0</v>
      </c>
      <c r="C26" s="52">
        <v>0</v>
      </c>
      <c r="D26" s="53"/>
      <c r="E26" s="171">
        <v>2.5</v>
      </c>
    </row>
    <row r="27" spans="1:12" s="73" customFormat="1" x14ac:dyDescent="0.2">
      <c r="A27" s="171" t="s">
        <v>302</v>
      </c>
      <c r="B27" s="52">
        <v>0</v>
      </c>
      <c r="C27" s="52">
        <v>0</v>
      </c>
      <c r="D27" s="53"/>
      <c r="E27" s="171">
        <v>2.5</v>
      </c>
    </row>
    <row r="28" spans="1:12" s="73" customFormat="1" x14ac:dyDescent="0.2">
      <c r="A28" s="171" t="s">
        <v>303</v>
      </c>
      <c r="B28" s="52">
        <v>0</v>
      </c>
      <c r="C28" s="52">
        <v>0</v>
      </c>
      <c r="D28" s="53"/>
      <c r="E28" s="171">
        <v>2.5</v>
      </c>
    </row>
    <row r="29" spans="1:12" s="73" customFormat="1" x14ac:dyDescent="0.2">
      <c r="A29" s="172" t="s">
        <v>304</v>
      </c>
      <c r="B29" s="167">
        <v>0</v>
      </c>
      <c r="C29" s="167">
        <v>0</v>
      </c>
      <c r="D29" s="53"/>
      <c r="E29" s="172">
        <v>2.5</v>
      </c>
    </row>
    <row r="30" spans="1:12" s="73" customFormat="1" x14ac:dyDescent="0.2">
      <c r="A30" s="172" t="s">
        <v>305</v>
      </c>
      <c r="B30" s="167">
        <v>0</v>
      </c>
      <c r="C30" s="167">
        <v>0</v>
      </c>
      <c r="D30" s="53"/>
      <c r="E30" s="172">
        <v>2.5</v>
      </c>
    </row>
    <row r="31" spans="1:12" s="73" customFormat="1" x14ac:dyDescent="0.2">
      <c r="A31" s="172" t="s">
        <v>306</v>
      </c>
      <c r="B31" s="167">
        <v>0</v>
      </c>
      <c r="C31" s="167">
        <v>0</v>
      </c>
      <c r="D31" s="53"/>
      <c r="E31" s="172">
        <v>2.5</v>
      </c>
    </row>
    <row r="32" spans="1:12" s="1" customFormat="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4" s="73" customFormat="1" x14ac:dyDescent="0.2">
      <c r="A33" s="72" t="s">
        <v>244</v>
      </c>
      <c r="D33" s="72"/>
      <c r="E33" s="184"/>
    </row>
    <row r="34" spans="1:14" x14ac:dyDescent="0.2">
      <c r="A34" s="1"/>
      <c r="B34" s="8"/>
      <c r="C34" s="1"/>
      <c r="D34" s="1"/>
    </row>
    <row r="35" spans="1:14" s="2" customFormat="1" x14ac:dyDescent="0.2">
      <c r="A35" s="58"/>
      <c r="B35" s="59"/>
      <c r="C35" s="59"/>
      <c r="D35" s="60"/>
      <c r="E35" s="60"/>
      <c r="F35" s="60"/>
      <c r="G35" s="60"/>
      <c r="H35" s="60"/>
      <c r="I35" s="60"/>
      <c r="J35" s="60"/>
      <c r="K35" s="60"/>
      <c r="L35" s="60"/>
    </row>
    <row r="36" spans="1:14" ht="15.75" x14ac:dyDescent="0.25">
      <c r="A36" s="57" t="s">
        <v>234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1:14" x14ac:dyDescent="0.2">
      <c r="A37" s="19" t="s">
        <v>98</v>
      </c>
      <c r="B37" s="55" t="str">
        <f ca="1">IF(E37="Rads",B43,IF(OR(E37="Ribs",E37="Rib "),B42,"Error!"))</f>
        <v>Fin Radiator</v>
      </c>
      <c r="C37" s="9"/>
      <c r="D37" s="7"/>
      <c r="E37" t="str">
        <f ca="1">LEFT(F37,4)</f>
        <v>Ribs</v>
      </c>
      <c r="F37" s="4" t="str">
        <f ca="1">TRIM(P!D94)</f>
        <v>Ribs-Press/Weight.:</v>
      </c>
    </row>
    <row r="38" spans="1:14" x14ac:dyDescent="0.2">
      <c r="A38" s="19"/>
      <c r="B38" s="55" t="str">
        <f ca="1">IF(E38="Conservator",B41,IF(E38="0",B40,"Error!"))</f>
        <v>Hermetically Sealed</v>
      </c>
      <c r="C38" s="9"/>
      <c r="D38" s="7"/>
      <c r="E38" t="str">
        <f ca="1">LEFT(F38,11)</f>
        <v>0</v>
      </c>
      <c r="F38" s="4" t="str">
        <f ca="1">IF(LEN(P!D92)=0,0,TRIM(P!D92))</f>
        <v>0</v>
      </c>
    </row>
    <row r="39" spans="1:14" x14ac:dyDescent="0.2">
      <c r="A39" s="19"/>
      <c r="B39" s="55" t="str">
        <f>Techspecs!H49</f>
        <v>N</v>
      </c>
      <c r="C39" s="239" t="str">
        <f>Techspecs!H49</f>
        <v>N</v>
      </c>
      <c r="D39" s="7"/>
      <c r="F39" s="4"/>
    </row>
    <row r="40" spans="1:14" x14ac:dyDescent="0.2">
      <c r="A40" s="8"/>
      <c r="B40" s="53" t="s">
        <v>226</v>
      </c>
      <c r="C40" s="9"/>
      <c r="D40" s="7"/>
      <c r="F40" s="4"/>
    </row>
    <row r="41" spans="1:14" x14ac:dyDescent="0.2">
      <c r="A41" s="8"/>
      <c r="B41" s="53" t="s">
        <v>225</v>
      </c>
      <c r="C41" s="9"/>
      <c r="D41" s="7"/>
      <c r="F41" s="4"/>
    </row>
    <row r="42" spans="1:14" x14ac:dyDescent="0.2">
      <c r="A42" s="8"/>
      <c r="B42" s="53" t="s">
        <v>227</v>
      </c>
      <c r="C42" s="9"/>
      <c r="D42" s="7"/>
      <c r="F42" s="4"/>
    </row>
    <row r="43" spans="1:14" x14ac:dyDescent="0.2">
      <c r="A43" s="8"/>
      <c r="B43" s="53" t="s">
        <v>228</v>
      </c>
      <c r="C43" s="9"/>
      <c r="D43" s="7"/>
      <c r="F43" s="4"/>
    </row>
    <row r="44" spans="1:14" x14ac:dyDescent="0.2">
      <c r="A44" s="8"/>
      <c r="B44" s="53" t="s">
        <v>383</v>
      </c>
      <c r="C44" s="238"/>
      <c r="D44" s="7"/>
      <c r="F44" s="4"/>
    </row>
    <row r="45" spans="1:14" x14ac:dyDescent="0.2">
      <c r="A45" s="8"/>
      <c r="B45" s="53" t="s">
        <v>124</v>
      </c>
      <c r="C45" s="238"/>
      <c r="D45" s="7"/>
      <c r="F45" s="4"/>
    </row>
    <row r="46" spans="1:14" x14ac:dyDescent="0.2">
      <c r="A46" s="19" t="s">
        <v>66</v>
      </c>
      <c r="B46" s="10">
        <f ca="1">VALUE(TRIM(MID(P!B18,Q!C46+1,Q!D46-Q!C46-1)))</f>
        <v>100</v>
      </c>
      <c r="C46">
        <f ca="1">FIND("-",P!B18,1)</f>
        <v>3</v>
      </c>
      <c r="D46">
        <f ca="1">FIND("L",P!B18,1)</f>
        <v>13</v>
      </c>
      <c r="I46" s="289" t="s">
        <v>645</v>
      </c>
      <c r="J46" s="289" t="s">
        <v>648</v>
      </c>
      <c r="K46" s="289" t="s">
        <v>646</v>
      </c>
      <c r="L46" s="289" t="s">
        <v>647</v>
      </c>
      <c r="M46" s="335" t="s">
        <v>778</v>
      </c>
      <c r="N46" s="335" t="s">
        <v>779</v>
      </c>
    </row>
    <row r="47" spans="1:14" x14ac:dyDescent="0.2">
      <c r="A47" s="19" t="s">
        <v>67</v>
      </c>
      <c r="B47" s="10">
        <f ca="1">VALUE(IF(ISERROR(D47)=TRUE,RIGHT(A52,E47-C47),(MID(A52,Q!C47+1,Q!D47-Q!C47-1))))</f>
        <v>33000</v>
      </c>
      <c r="C47">
        <f ca="1">FIND(":",A52,1)</f>
        <v>1</v>
      </c>
      <c r="D47">
        <f ca="1">FIND("+",A52,1)</f>
        <v>9</v>
      </c>
      <c r="E47">
        <f ca="1">LEN(A52)</f>
        <v>18</v>
      </c>
      <c r="I47" s="290" t="str">
        <f>LEFT('Bill of Materials'!C31,FIND("m",'Bill of Materials'!C31)-1)</f>
        <v xml:space="preserve">3 </v>
      </c>
      <c r="J47" s="290">
        <f>PI()*I47^2/4</f>
        <v>7.0685834705770345</v>
      </c>
      <c r="K47" s="290">
        <f ca="1">$B$53/J47</f>
        <v>0.14288577113139048</v>
      </c>
      <c r="L47" s="290">
        <f ca="1">$B$54/J47</f>
        <v>0.24757435592072607</v>
      </c>
      <c r="M47" s="290">
        <f ca="1">IF(OR(B63=0,B64=0,B65=0),0,IF(K47=$K$50,VLOOKUP($B$46,$I$53:$J$64,2),0))</f>
        <v>3</v>
      </c>
      <c r="N47" s="290">
        <f ca="1">IF(OR(B63=0,B64=0,B65=0),0,IF(L47=$L$50,VLOOKUP($B$46,$I$53:$J$64,2)/3,0))</f>
        <v>1</v>
      </c>
    </row>
    <row r="48" spans="1:14" x14ac:dyDescent="0.2">
      <c r="A48" s="19" t="s">
        <v>68</v>
      </c>
      <c r="B48" s="10">
        <f ca="1">VALUE(TRIM(MID(P!B20,Q!C48+1,Q!D48-Q!C48)))</f>
        <v>400</v>
      </c>
      <c r="C48">
        <f ca="1">FIND(":",P!B20,1)</f>
        <v>1</v>
      </c>
      <c r="D48">
        <f ca="1">LEN(P!B20)</f>
        <v>7</v>
      </c>
      <c r="I48" s="290" t="str">
        <f>LEFT('Bill of Materials'!C32,FIND("m",'Bill of Materials'!C32)-1)</f>
        <v xml:space="preserve">7/1.7 </v>
      </c>
      <c r="J48" s="290">
        <f>LEFT(I48,FIND("/",I48)-1)*PI()*RIGHT(I48,LEN(I48)-FIND("/",I48))^2/4</f>
        <v>15.888604845530377</v>
      </c>
      <c r="K48" s="290">
        <f ca="1">$B$53/J48</f>
        <v>6.3567569954647282E-2</v>
      </c>
      <c r="L48" s="290">
        <f ca="1">$B$54/J48</f>
        <v>0.11014182912933934</v>
      </c>
      <c r="M48" s="290">
        <f ca="1">IF(OR(B63=0,B64=0,B65=0),0,IF(K48=$K$50,VLOOKUP($B$46,$I$53:$J$64,2),0))</f>
        <v>0</v>
      </c>
      <c r="N48" s="290">
        <f ca="1">IF(OR(B63=0,B64=0,B65=0),0,IF(L48=$L$50,VLOOKUP($B$46,$I$53:$J$64,2)/3,0))</f>
        <v>0</v>
      </c>
    </row>
    <row r="49" spans="1:14" s="2" customFormat="1" x14ac:dyDescent="0.2">
      <c r="A49" s="2" t="s">
        <v>263</v>
      </c>
      <c r="B49" s="69">
        <f ca="1">VALUE(RIGHT(E49,D49-C49))</f>
        <v>144.33799999999999</v>
      </c>
      <c r="C49">
        <f ca="1">FIND("/",E49,1)</f>
        <v>8</v>
      </c>
      <c r="D49">
        <f ca="1">LEN(E49)</f>
        <v>16</v>
      </c>
      <c r="E49" s="2" t="str">
        <f ca="1">TRIM(P!H20)</f>
        <v>144.338/ 144.338</v>
      </c>
      <c r="G49" s="2">
        <v>1</v>
      </c>
      <c r="H49" s="2">
        <v>2</v>
      </c>
      <c r="I49" s="290" t="str">
        <f>LEFT('Bill of Materials'!C33,FIND("m",'Bill of Materials'!C33)-1)</f>
        <v xml:space="preserve">19/1.35 </v>
      </c>
      <c r="J49" s="290">
        <f>LEFT(I49,FIND("/",I49)-1)*PI()*RIGHT(I49,LEN(I49)-FIND("/",I49))^2/4</f>
        <v>27.196374903045143</v>
      </c>
      <c r="K49" s="290">
        <f ca="1">$B$53/J49</f>
        <v>3.7137302438308116E-2</v>
      </c>
      <c r="L49" s="290">
        <f ca="1">$B$54/J49</f>
        <v>6.4346811155484351E-2</v>
      </c>
      <c r="M49" s="290">
        <f ca="1">IF(OR(B63=0,B64=0,B65=0),0,IF(K49=$K$50,VLOOKUP($B$46,$I$53:$J$64,2),0))</f>
        <v>0</v>
      </c>
      <c r="N49" s="290">
        <f ca="1">IF(OR(B63=0,B64=0,B65=0),0,IF(L49=$L$50,VLOOKUP($B$46,$I$53:$J$64,2)/3,0))</f>
        <v>0</v>
      </c>
    </row>
    <row r="50" spans="1:14" s="2" customFormat="1" x14ac:dyDescent="0.2">
      <c r="A50" s="2" t="s">
        <v>264</v>
      </c>
      <c r="B50" s="69">
        <f ca="1">IF(B76="yn",B49,IF(B76="nd",B49/1.732,B49))</f>
        <v>144.33799999999999</v>
      </c>
      <c r="I50" s="289" t="s">
        <v>649</v>
      </c>
      <c r="J50" s="289"/>
      <c r="K50" s="289">
        <f ca="1">IF(ISERROR(IF(D65=0,0,SMALL(K47:K49,COUNTIF(K47:K49,"&lt;"&amp;3.5)))),0,IF(D65=0,0,SMALL(K47:K49,COUNTIF(K47:K49,"&lt;"&amp;3.5))))</f>
        <v>0.14288577113139048</v>
      </c>
      <c r="L50" s="289">
        <f ca="1">IF(ISERROR(SMALL(L47:L49,COUNTIF(L47:L49,"&lt;"&amp;3.5))),0,SMALL(L47:L49,COUNTIF(L47:L49,"&lt;"&amp;3.5)))</f>
        <v>0.24757435592072607</v>
      </c>
      <c r="M50" s="18"/>
      <c r="N50" s="177"/>
    </row>
    <row r="51" spans="1:14" s="2" customFormat="1" x14ac:dyDescent="0.2">
      <c r="A51" s="2" t="s">
        <v>265</v>
      </c>
      <c r="B51" s="69">
        <f ca="1">VALUE(LEFT(P!C43,C51-1))</f>
        <v>3.2509999999999999</v>
      </c>
      <c r="C51" s="2">
        <f ca="1">FIND("A",P!C43,1)</f>
        <v>7</v>
      </c>
    </row>
    <row r="52" spans="1:14" x14ac:dyDescent="0.2">
      <c r="A52" t="str">
        <f ca="1">TRIM(P!B19)</f>
        <v>: 33000 + 2- 2x 2.</v>
      </c>
      <c r="B52" s="8"/>
      <c r="I52" s="289" t="s">
        <v>642</v>
      </c>
      <c r="J52" s="289" t="s">
        <v>643</v>
      </c>
      <c r="K52" s="289" t="s">
        <v>644</v>
      </c>
      <c r="M52" s="2"/>
    </row>
    <row r="53" spans="1:14" x14ac:dyDescent="0.2">
      <c r="A53" s="2" t="s">
        <v>222</v>
      </c>
      <c r="B53">
        <f ca="1">VALUE(RIGHT(E53,C53-D53))</f>
        <v>1.01</v>
      </c>
      <c r="C53" s="2">
        <f ca="1">LEN(E53)</f>
        <v>12</v>
      </c>
      <c r="D53">
        <f ca="1">FIND(" ",E53,1)</f>
        <v>7</v>
      </c>
      <c r="E53" t="str">
        <f ca="1">TRIM(P!H19)</f>
        <v>1.750/ 1.010</v>
      </c>
      <c r="G53" s="17" t="s">
        <v>775</v>
      </c>
      <c r="H53">
        <f ca="1">IF(B46&lt;100,100,B46)</f>
        <v>100</v>
      </c>
      <c r="I53" s="372">
        <v>100</v>
      </c>
      <c r="J53" s="372">
        <v>3</v>
      </c>
      <c r="K53" s="290">
        <v>0.5</v>
      </c>
    </row>
    <row r="54" spans="1:14" x14ac:dyDescent="0.2">
      <c r="A54" s="2" t="s">
        <v>223</v>
      </c>
      <c r="B54">
        <f ca="1">VALUE(LEFT(E53,C53-D53))</f>
        <v>1.75</v>
      </c>
      <c r="C54" s="20"/>
      <c r="G54" t="s">
        <v>575</v>
      </c>
      <c r="H54">
        <f ca="1">VLOOKUP(H53,I53:J64,2,FALSE)</f>
        <v>3</v>
      </c>
      <c r="I54" s="372">
        <v>160</v>
      </c>
      <c r="J54" s="372">
        <v>3</v>
      </c>
      <c r="K54" s="290">
        <v>0.5</v>
      </c>
    </row>
    <row r="55" spans="1:14" x14ac:dyDescent="0.2">
      <c r="A55" s="2"/>
      <c r="C55" s="20"/>
      <c r="I55" s="372">
        <v>250</v>
      </c>
      <c r="J55" s="372">
        <v>4</v>
      </c>
      <c r="K55" s="290">
        <v>0.75</v>
      </c>
    </row>
    <row r="56" spans="1:14" x14ac:dyDescent="0.2">
      <c r="A56" s="2" t="s">
        <v>221</v>
      </c>
      <c r="B56">
        <f ca="1">INT(VALUE(B47)/1000)</f>
        <v>33</v>
      </c>
      <c r="C56" s="20"/>
      <c r="I56" s="373">
        <v>400</v>
      </c>
      <c r="J56" s="373">
        <v>4</v>
      </c>
      <c r="K56" s="290">
        <v>1</v>
      </c>
    </row>
    <row r="57" spans="1:14" x14ac:dyDescent="0.2">
      <c r="A57" s="2" t="s">
        <v>295</v>
      </c>
      <c r="B57">
        <f ca="1">VALUE(MID(P!E19,Q!C57+1,Q!D57-Q!C57-1))</f>
        <v>170</v>
      </c>
      <c r="C57">
        <f ca="1">FIND(":",P!E19,1)</f>
        <v>4</v>
      </c>
      <c r="D57">
        <f ca="1">IF(B61=1,IF(ISERROR(FIND("P",P!E19,1)),FIND("S",P!E19,1),FIND("P",P!E19,1)),FIND("(",P!E19,1))</f>
        <v>10</v>
      </c>
      <c r="I57" s="373">
        <v>630</v>
      </c>
      <c r="J57" s="373">
        <v>5</v>
      </c>
      <c r="K57" s="290">
        <v>1.5</v>
      </c>
    </row>
    <row r="58" spans="1:14" x14ac:dyDescent="0.2">
      <c r="A58" s="1" t="s">
        <v>116</v>
      </c>
      <c r="B58" t="str">
        <f ca="1">LEFT(F58,Q!E58-1)</f>
        <v>3.99</v>
      </c>
      <c r="C58">
        <f ca="1">LEN(F58)</f>
        <v>16</v>
      </c>
      <c r="D58">
        <f ca="1">FIND("/",F58,E58+1)</f>
        <v>10</v>
      </c>
      <c r="E58">
        <f ca="1">FIND("/",F58,1)</f>
        <v>5</v>
      </c>
      <c r="F58" t="str">
        <f ca="1">OFFSET(P!B113,MATCH(G58,P!B114:B120, 0),1)</f>
        <v>3.99/1.52/0.01 %</v>
      </c>
      <c r="G58" t="s">
        <v>517</v>
      </c>
      <c r="I58" s="373">
        <v>800</v>
      </c>
      <c r="J58" s="373">
        <v>5</v>
      </c>
      <c r="K58" s="290">
        <v>2</v>
      </c>
    </row>
    <row r="59" spans="1:14" x14ac:dyDescent="0.2">
      <c r="A59" s="1" t="s">
        <v>117</v>
      </c>
      <c r="B59" t="str">
        <f ca="1">MID(F58,Q!E58+1,Q!D58-Q!E58-1)</f>
        <v>1.52</v>
      </c>
      <c r="C59" s="20"/>
      <c r="I59" s="373">
        <v>1000</v>
      </c>
      <c r="J59" s="373">
        <v>6</v>
      </c>
      <c r="K59" s="290">
        <v>2.5</v>
      </c>
    </row>
    <row r="60" spans="1:14" x14ac:dyDescent="0.2">
      <c r="A60" s="19" t="s">
        <v>92</v>
      </c>
      <c r="B60" s="19" t="str">
        <f ca="1">TRIM(MID(P!E18,Q!C60+5,Q!D60-Q!C60-5))</f>
        <v>50</v>
      </c>
      <c r="C60">
        <f ca="1">FIND("Phase",P!E18,1)</f>
        <v>5</v>
      </c>
      <c r="D60">
        <f ca="1">FIND("H",P!E18,1)</f>
        <v>18</v>
      </c>
      <c r="I60" s="374">
        <v>1250</v>
      </c>
      <c r="J60" s="374">
        <v>6</v>
      </c>
      <c r="K60" s="290">
        <v>3.5</v>
      </c>
    </row>
    <row r="61" spans="1:14" x14ac:dyDescent="0.2">
      <c r="A61" s="19" t="s">
        <v>93</v>
      </c>
      <c r="B61" s="10">
        <f ca="1">IF(C61="ree", 3,IF(C61="gle", 1))</f>
        <v>3</v>
      </c>
      <c r="C61" s="4" t="str">
        <f ca="1">TRIM(LEFT(P!E18,Q!C60-1))</f>
        <v>ree</v>
      </c>
      <c r="I61" s="374">
        <v>1600</v>
      </c>
      <c r="J61" s="374">
        <v>7</v>
      </c>
      <c r="K61" s="290">
        <v>4.5</v>
      </c>
    </row>
    <row r="62" spans="1:14" x14ac:dyDescent="0.2">
      <c r="A62" t="s">
        <v>94</v>
      </c>
      <c r="C62">
        <f ca="1">FIND("+",P!B19,1)</f>
        <v>9</v>
      </c>
      <c r="D62">
        <f ca="1">FIND("-",P!B19,1)</f>
        <v>12</v>
      </c>
      <c r="E62">
        <f ca="1">LEN(P!B19)</f>
        <v>18</v>
      </c>
      <c r="I62" s="374">
        <v>2000</v>
      </c>
      <c r="J62" s="374">
        <v>7</v>
      </c>
      <c r="K62" s="290">
        <v>5.5</v>
      </c>
    </row>
    <row r="63" spans="1:14" x14ac:dyDescent="0.2">
      <c r="A63" t="s">
        <v>95</v>
      </c>
      <c r="B63">
        <f ca="1">IF(P!C19=0,0,VALUE(MID(P!B19,Q!C62+1,Q!D62-Q!C62-1)))</f>
        <v>2</v>
      </c>
      <c r="I63" s="374">
        <v>2500</v>
      </c>
      <c r="J63" s="374">
        <v>8</v>
      </c>
      <c r="K63" s="290">
        <v>6.5</v>
      </c>
    </row>
    <row r="64" spans="1:14" x14ac:dyDescent="0.2">
      <c r="A64" t="s">
        <v>96</v>
      </c>
      <c r="B64">
        <f ca="1">IF(P!C19=0,0,0-C64)</f>
        <v>-2</v>
      </c>
      <c r="C64">
        <f ca="1">IF(P!C19=0,0,VALUE(LEFT(TRIM(RIGHT(P!B19,Q!E62-Q!D62)),1)))</f>
        <v>2</v>
      </c>
      <c r="I64" s="374">
        <v>3150</v>
      </c>
      <c r="J64" s="374">
        <v>13</v>
      </c>
      <c r="K64" s="290">
        <v>7.5</v>
      </c>
    </row>
    <row r="65" spans="1:4" x14ac:dyDescent="0.2">
      <c r="A65" s="1" t="s">
        <v>97</v>
      </c>
      <c r="B65" s="2">
        <f ca="1">IF(P!C19=0,0,VALUE(TRIM(RIGHT(P!B19,2))&amp;TRIM(LEFT(P!C19,Q!C65-1))))</f>
        <v>2.5</v>
      </c>
      <c r="C65">
        <f ca="1">IF(ISERROR(FIND("%",P!C19,1)),0,FIND("%",P!C19,1))</f>
        <v>4</v>
      </c>
      <c r="D65">
        <f ca="1">B63-B64+1</f>
        <v>5</v>
      </c>
    </row>
    <row r="66" spans="1:4" x14ac:dyDescent="0.2">
      <c r="A66" s="19"/>
      <c r="B66" s="19" t="str">
        <f ca="1">IF($C$66&lt;=$B$64,"-",$B$65*C66&amp;"%")</f>
        <v>5%</v>
      </c>
      <c r="C66">
        <f ca="1">$B$63</f>
        <v>2</v>
      </c>
      <c r="D66">
        <f ca="1">IF(B66&lt;&gt;"-",1,"")</f>
        <v>1</v>
      </c>
    </row>
    <row r="67" spans="1:4" x14ac:dyDescent="0.2">
      <c r="A67" s="19"/>
      <c r="B67" s="19" t="str">
        <f ca="1">IF($C$66-1&lt;$B$64,"-",$B$65*C67&amp;"%")</f>
        <v>2.5%</v>
      </c>
      <c r="C67">
        <f ca="1">IF($C$66-1&lt;$B$64,0,$C$66-1)</f>
        <v>1</v>
      </c>
      <c r="D67">
        <f ca="1">IF(B67&lt;&gt;"-",2,"")</f>
        <v>2</v>
      </c>
    </row>
    <row r="68" spans="1:4" x14ac:dyDescent="0.2">
      <c r="A68" s="19"/>
      <c r="B68" s="19" t="str">
        <f ca="1">IF($C$66-2&lt;$B$64,"-",$B$65*C68&amp;"%")</f>
        <v>0%</v>
      </c>
      <c r="C68">
        <f ca="1">IF($C$66-2&lt;$B$64,0,$C$66-2)</f>
        <v>0</v>
      </c>
      <c r="D68">
        <f ca="1">IF(B68&lt;&gt;"-",3,"")</f>
        <v>3</v>
      </c>
    </row>
    <row r="69" spans="1:4" x14ac:dyDescent="0.2">
      <c r="A69" s="19"/>
      <c r="B69" s="19" t="str">
        <f ca="1">IF($C$66-3&lt;$B$64,"-",$B$65*C69&amp;"%")</f>
        <v>-2.5%</v>
      </c>
      <c r="C69">
        <f ca="1">IF($C$66-3&lt;$B$64,0,$C$66-3)</f>
        <v>-1</v>
      </c>
      <c r="D69">
        <f ca="1">IF(B69&lt;&gt;"-",4,"")</f>
        <v>4</v>
      </c>
    </row>
    <row r="70" spans="1:4" x14ac:dyDescent="0.2">
      <c r="A70" s="19"/>
      <c r="B70" s="19" t="str">
        <f ca="1">IF($C$66-4&lt;$B$64,"-",$B$65*C70&amp;"%")</f>
        <v>-5%</v>
      </c>
      <c r="C70">
        <f ca="1">IF($C$66-4&lt;$B$64,0,$C$66-4)</f>
        <v>-2</v>
      </c>
      <c r="D70">
        <f ca="1">IF(B70&lt;&gt;"-",5,"")</f>
        <v>5</v>
      </c>
    </row>
    <row r="71" spans="1:4" x14ac:dyDescent="0.2">
      <c r="A71" s="19"/>
      <c r="B71" s="19" t="str">
        <f ca="1">IF($C$66-5&lt;$B$64,"-",$B$65*C71&amp;"%")</f>
        <v>-</v>
      </c>
      <c r="C71">
        <f ca="1">IF($C$66-5&lt;$B$64,0,$C$66-5)</f>
        <v>0</v>
      </c>
      <c r="D71" t="str">
        <f ca="1">IF(B71&lt;&gt;"-",6,"")</f>
        <v/>
      </c>
    </row>
    <row r="72" spans="1:4" x14ac:dyDescent="0.2">
      <c r="A72" s="19"/>
      <c r="B72" s="19" t="str">
        <f ca="1">IF($C$66-6&lt;$B$64,"-",$B$65*C72&amp;"%")</f>
        <v>-</v>
      </c>
      <c r="C72">
        <f ca="1">IF($C$66-6&lt;$B$64,0,$C$66-6)</f>
        <v>0</v>
      </c>
      <c r="D72" t="str">
        <f ca="1">IF(B72&lt;&gt;"-",7,"")</f>
        <v/>
      </c>
    </row>
    <row r="73" spans="1:4" x14ac:dyDescent="0.2">
      <c r="A73" s="19"/>
      <c r="B73" s="19" t="str">
        <f ca="1">IF($C$66-7&lt;$B$64,"-",$B$65*C73&amp;"%")</f>
        <v>-</v>
      </c>
      <c r="C73">
        <f ca="1">IF($C$66-7&lt;$B$64,0,$C$66-7)</f>
        <v>0</v>
      </c>
      <c r="D73" t="str">
        <f ca="1">IF(B73&lt;&gt;"-",8,"")</f>
        <v/>
      </c>
    </row>
    <row r="74" spans="1:4" x14ac:dyDescent="0.2">
      <c r="A74" s="19"/>
      <c r="B74" s="19" t="str">
        <f ca="1">IF($C$66-7&lt;$B$64,"-",$B$65*C74&amp;"%")</f>
        <v>-</v>
      </c>
      <c r="C74">
        <f ca="1">IF($C$66-7&lt;$B$64,0,$C$66-7)</f>
        <v>0</v>
      </c>
      <c r="D74" t="str">
        <f ca="1">IF(B74&lt;&gt;"-",9,"")</f>
        <v/>
      </c>
    </row>
    <row r="75" spans="1:4" x14ac:dyDescent="0.2">
      <c r="A75" s="1" t="s">
        <v>99</v>
      </c>
    </row>
    <row r="76" spans="1:4" x14ac:dyDescent="0.2">
      <c r="A76" t="s">
        <v>59</v>
      </c>
      <c r="B76" t="str">
        <f ca="1">IF(ISERROR(FIND("S",P!E20)),IF(ISERROR(FIND("D",P!E20)),IF(ISERROR(FIND("Z",P!E20)),"yn","zn"),"d"),"N/A")</f>
        <v>yn</v>
      </c>
      <c r="D76" t="str">
        <f ca="1">IF(RIGHT(P!E20,1)="e","yn","d")</f>
        <v>yn</v>
      </c>
    </row>
    <row r="77" spans="1:4" x14ac:dyDescent="0.2">
      <c r="A77" t="s">
        <v>100</v>
      </c>
      <c r="B77" t="str">
        <f ca="1">IF(ISERROR(FIND("S",P!E19)),IF(ISERROR(FIND("D",P!E19)),IF(ISERROR(FIND("Z",P!E19)),"Yn","Zn"),"D"),"N/A")</f>
        <v>D</v>
      </c>
      <c r="D77" t="str">
        <f ca="1">IF(RIGHT(P!E19,2)="lt","D","YN")</f>
        <v>D</v>
      </c>
    </row>
    <row r="78" spans="1:4" x14ac:dyDescent="0.2">
      <c r="B78" t="str">
        <f ca="1">IF(B61=3,B77&amp;B76,"N/A")</f>
        <v>Dyn</v>
      </c>
    </row>
    <row r="79" spans="1:4" x14ac:dyDescent="0.2">
      <c r="A79" s="19"/>
      <c r="B79" s="19" t="str">
        <f ca="1">IF(B78="Dyn","Dyn11",IF(B78="YNd","YNd1",IF(B78="YNyn","YNyn0",B78)))</f>
        <v>Dyn11</v>
      </c>
    </row>
    <row r="81" spans="1:15" x14ac:dyDescent="0.2">
      <c r="A81" s="19" t="s">
        <v>101</v>
      </c>
      <c r="B81" s="19">
        <f ca="1">5*C81</f>
        <v>60</v>
      </c>
      <c r="C81">
        <f ca="1">ROUNDUP(D81/5,0)</f>
        <v>12</v>
      </c>
      <c r="D81">
        <f ca="1">MIN(VALUE(LEFT(P!C83,FIND(".",P!C83,1)-1)),60)</f>
        <v>60</v>
      </c>
    </row>
    <row r="82" spans="1:15" x14ac:dyDescent="0.2">
      <c r="A82" s="19" t="s">
        <v>102</v>
      </c>
      <c r="B82" s="19">
        <f ca="1">5*C82</f>
        <v>55</v>
      </c>
      <c r="C82" s="2">
        <f ca="1">ROUNDUP(D82/5,0)</f>
        <v>11</v>
      </c>
      <c r="D82">
        <f ca="1">MIN(VALUE(LEFT(P!C84,FIND(".",P!C84,1)-1)),55)</f>
        <v>55</v>
      </c>
    </row>
    <row r="83" spans="1:15" x14ac:dyDescent="0.2">
      <c r="A83" s="19" t="s">
        <v>103</v>
      </c>
      <c r="B83" s="19">
        <f ca="1">ROUNDUP(C83*100,2)+IF(RIGHT(A209,4)="Rect",-0.4,0.5)</f>
        <v>4.7799999999999994</v>
      </c>
      <c r="C83" t="str">
        <f ca="1">OFFSET(P!D113,MATCH(D83,P!D114:D119, 0),1)</f>
        <v>4.273 %</v>
      </c>
      <c r="D83" t="s">
        <v>518</v>
      </c>
      <c r="F83">
        <f ca="1">VALUE(LEFT(C83,FIND("%",C83,1)))*100</f>
        <v>4.2729999999999997</v>
      </c>
      <c r="G83">
        <f ca="1">VALUE(LEFT(P!E117,FIND("%",P!E117,1)))*100</f>
        <v>4.2729999999999997</v>
      </c>
    </row>
    <row r="84" spans="1:15" x14ac:dyDescent="0.2">
      <c r="A84" s="19" t="s">
        <v>104</v>
      </c>
      <c r="B84" s="19">
        <f ca="1">G84</f>
        <v>1560</v>
      </c>
      <c r="C84">
        <f>(1+B4/100)</f>
        <v>1.1000000000000001</v>
      </c>
      <c r="D84" s="12" t="str">
        <f ca="1">LEFT(P!E115,FIND("(",P!E115,1)-1)</f>
        <v xml:space="preserve">701 </v>
      </c>
      <c r="G84">
        <f ca="1">VALUE(RIGHT(P!C85,LEN(P!C85)-SEARCH("/",P!C85)))</f>
        <v>1560</v>
      </c>
    </row>
    <row r="85" spans="1:15" x14ac:dyDescent="0.2">
      <c r="A85" s="19" t="s">
        <v>105</v>
      </c>
      <c r="B85" s="19">
        <f ca="1">G85</f>
        <v>227</v>
      </c>
      <c r="C85">
        <f>(1+B3/100)</f>
        <v>1.1000000000000001</v>
      </c>
      <c r="D85" s="12" t="e">
        <f ca="1">LEFT(P!C115,FIND("W",P!C115,1)-1)</f>
        <v>#VALUE!</v>
      </c>
      <c r="E85" t="e">
        <f ca="1">FIND("W",P!C115,1)</f>
        <v>#VALUE!</v>
      </c>
      <c r="G85">
        <f ca="1">VALUE(LEFT(P!C85,SEARCH("/",P!C85)-1))</f>
        <v>227</v>
      </c>
      <c r="H85" s="2"/>
      <c r="J85">
        <f ca="1">SQRT(F83*F83-K85*K85)</f>
        <v>4.2151071160766476</v>
      </c>
      <c r="K85">
        <f ca="1">D84*100/(A91*1000)</f>
        <v>0.70099999999999996</v>
      </c>
    </row>
    <row r="86" spans="1:15" x14ac:dyDescent="0.2">
      <c r="A86" s="19" t="s">
        <v>106</v>
      </c>
      <c r="B86" s="240" t="str">
        <f ca="1">P!C29</f>
        <v>0.8241</v>
      </c>
    </row>
    <row r="87" spans="1:15" x14ac:dyDescent="0.2">
      <c r="A87" s="19" t="s">
        <v>107</v>
      </c>
      <c r="B87" s="19">
        <f ca="1">ROUNDUP(LEFT(P!C30,FIND("db",P!C30,1)-1),0)</f>
        <v>45</v>
      </c>
    </row>
    <row r="88" spans="1:15" s="2" customFormat="1" x14ac:dyDescent="0.2">
      <c r="A88" s="2" t="s">
        <v>182</v>
      </c>
      <c r="B88" s="2">
        <f ca="1">VALUE(MID(P!E124,Q!D88+1,Q!C88-Q!D88-1))</f>
        <v>1</v>
      </c>
      <c r="C88" s="2">
        <f ca="1">FIND("B",P!E124,1)</f>
        <v>16</v>
      </c>
      <c r="D88" s="2">
        <f ca="1">FIND("=",P!E124,1)</f>
        <v>8</v>
      </c>
    </row>
    <row r="89" spans="1:15" x14ac:dyDescent="0.2">
      <c r="A89" s="2" t="s">
        <v>266</v>
      </c>
      <c r="B89" s="201" t="e">
        <f ca="1">ROUNDUP(Q!C89/#REF!/1000,2)</f>
        <v>#VALUE!</v>
      </c>
      <c r="C89" t="e">
        <f ca="1">VALUE(LEFT(P!C46,Q!D89-1))</f>
        <v>#VALUE!</v>
      </c>
      <c r="D89" t="e">
        <f ca="1">FIND("A",P!C46,1)</f>
        <v>#VALUE!</v>
      </c>
    </row>
    <row r="90" spans="1:15" s="1" customFormat="1" x14ac:dyDescent="0.2">
      <c r="A90" s="188" t="s">
        <v>66</v>
      </c>
      <c r="B90" s="188" t="s">
        <v>308</v>
      </c>
      <c r="C90" s="188" t="s">
        <v>309</v>
      </c>
      <c r="D90" s="188" t="s">
        <v>310</v>
      </c>
      <c r="E90" s="188" t="s">
        <v>311</v>
      </c>
      <c r="F90" s="188" t="s">
        <v>312</v>
      </c>
      <c r="G90" s="188" t="s">
        <v>313</v>
      </c>
      <c r="H90" s="188" t="s">
        <v>314</v>
      </c>
      <c r="I90" s="188" t="s">
        <v>315</v>
      </c>
      <c r="J90" s="188" t="s">
        <v>116</v>
      </c>
      <c r="K90" s="188" t="s">
        <v>117</v>
      </c>
      <c r="L90" s="188" t="s">
        <v>316</v>
      </c>
      <c r="M90" s="189" t="s">
        <v>317</v>
      </c>
      <c r="N90" s="189" t="s">
        <v>318</v>
      </c>
      <c r="O90" s="188"/>
    </row>
    <row r="91" spans="1:15" x14ac:dyDescent="0.2">
      <c r="A91" s="18">
        <f ca="1">B46</f>
        <v>100</v>
      </c>
      <c r="B91" s="190">
        <f ca="1">B83</f>
        <v>4.7799999999999994</v>
      </c>
      <c r="C91" s="18">
        <f ca="1">B91*F91</f>
        <v>4.7799999999999994</v>
      </c>
      <c r="D91" s="18">
        <f ca="1">B84</f>
        <v>1560</v>
      </c>
      <c r="E91" s="18">
        <f ca="1">B85</f>
        <v>227</v>
      </c>
      <c r="F91">
        <v>1</v>
      </c>
      <c r="G91" s="18">
        <v>0.8</v>
      </c>
      <c r="H91">
        <f>ACOS(G91)</f>
        <v>0.64350110879328426</v>
      </c>
      <c r="I91">
        <f>SIN(H91)</f>
        <v>0.59999999999999987</v>
      </c>
      <c r="J91" s="18">
        <f ca="1">F91*SQRT(C91*C91-K91*K91)</f>
        <v>4.5182740067419545</v>
      </c>
      <c r="K91" s="18">
        <f ca="1">F91*D91*100/(A91*1000)</f>
        <v>1.56</v>
      </c>
      <c r="L91" s="18">
        <f ca="1">E91*100/(A91*1000*F91)</f>
        <v>0.22700000000000001</v>
      </c>
      <c r="M91" s="191">
        <f ca="1">(1-(L91+K91)/(G91*100+L91+K91))*100</f>
        <v>97.815056182522895</v>
      </c>
      <c r="N91" s="192">
        <f ca="1">K91*G91+J91*I91+POWER((J91*G91-K91*I91),2)/200</f>
        <v>3.9948394082826888</v>
      </c>
      <c r="O91" s="18"/>
    </row>
    <row r="92" spans="1:15" ht="15.75" x14ac:dyDescent="0.25">
      <c r="A92" s="57" t="s">
        <v>235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342"/>
      <c r="M92" s="343"/>
      <c r="N92" s="343"/>
    </row>
    <row r="93" spans="1:15" x14ac:dyDescent="0.2">
      <c r="A93" s="21" t="s">
        <v>186</v>
      </c>
      <c r="B93" s="37"/>
      <c r="C93" s="28"/>
      <c r="D93" s="28"/>
      <c r="E93" s="28"/>
      <c r="F93" s="28"/>
      <c r="G93" s="28"/>
      <c r="H93" s="28"/>
      <c r="I93" s="28"/>
    </row>
    <row r="94" spans="1:15" x14ac:dyDescent="0.2">
      <c r="A94" s="2" t="s">
        <v>111</v>
      </c>
      <c r="B94" s="4">
        <f ca="1">MROUND(VALUE(LEFT(P!H97,Q!D94-1)),1)</f>
        <v>1035</v>
      </c>
      <c r="C94">
        <f ca="1">FIND("x",P!H97,D94+1)</f>
        <v>14</v>
      </c>
      <c r="D94">
        <f ca="1">FIND("x",P!H97,1)</f>
        <v>7</v>
      </c>
      <c r="E94">
        <f ca="1">LEN(P!H97)</f>
        <v>20</v>
      </c>
    </row>
    <row r="95" spans="1:15" x14ac:dyDescent="0.2">
      <c r="A95" s="2" t="s">
        <v>184</v>
      </c>
      <c r="B95" s="4">
        <f ca="1">MROUND(VALUE(MID(P!H97,Q!D94+1,Q!C94-Q!D94-1)),1)</f>
        <v>481</v>
      </c>
    </row>
    <row r="96" spans="1:15" x14ac:dyDescent="0.2">
      <c r="A96" s="2" t="s">
        <v>185</v>
      </c>
      <c r="B96" s="4">
        <f ca="1">MROUND(VALUE(RIGHT(P!H97,Q!E94-Q!C94)),1)</f>
        <v>802</v>
      </c>
    </row>
    <row r="97" spans="1:9" x14ac:dyDescent="0.2">
      <c r="A97" s="365" t="s">
        <v>187</v>
      </c>
      <c r="B97" s="366"/>
      <c r="C97" s="365" t="s">
        <v>762</v>
      </c>
      <c r="D97" s="28"/>
      <c r="E97" s="28"/>
      <c r="F97" s="28"/>
      <c r="G97" s="28"/>
      <c r="H97" s="28"/>
      <c r="I97" s="28"/>
    </row>
    <row r="98" spans="1:9" x14ac:dyDescent="0.2">
      <c r="A98" s="272" t="s">
        <v>188</v>
      </c>
      <c r="B98" s="284">
        <f ca="1">IF(B38=B41,IF(B46&lt;3150,340,IF(B46&lt;5000,780,900)),0)</f>
        <v>0</v>
      </c>
      <c r="C98" s="331">
        <f ca="1">IF(B38=B41,IF(B46&lt;3150,13,IF(B46&lt;5000,109,196)),0)</f>
        <v>0</v>
      </c>
    </row>
    <row r="99" spans="1:9" x14ac:dyDescent="0.2">
      <c r="A99" s="331" t="s">
        <v>761</v>
      </c>
      <c r="B99" s="284">
        <f>IF(Techspecs!H48="Y",VLOOKUP(1,H387:M388,5)+290,0)</f>
        <v>0</v>
      </c>
      <c r="C99" s="331">
        <f>IF(Techspecs!H48="Y",VLOOKUP(1,H387:M388,6),0)</f>
        <v>0</v>
      </c>
    </row>
    <row r="100" spans="1:9" x14ac:dyDescent="0.2">
      <c r="A100" s="331" t="s">
        <v>753</v>
      </c>
      <c r="B100" s="284">
        <f>IF(Techspecs!C61="Y",290,0)</f>
        <v>0</v>
      </c>
      <c r="C100" s="331">
        <f>IF(Techspecs!C61="Y",5,0)</f>
        <v>0</v>
      </c>
    </row>
    <row r="101" spans="1:9" x14ac:dyDescent="0.2">
      <c r="A101" s="272" t="str">
        <f ca="1">B311</f>
        <v>Plug-in Type 36 kV 250 A Interface B</v>
      </c>
      <c r="B101" s="284">
        <f ca="1">E311</f>
        <v>150</v>
      </c>
      <c r="C101" s="260">
        <f ca="1">G311*F311</f>
        <v>15</v>
      </c>
    </row>
    <row r="102" spans="1:9" x14ac:dyDescent="0.2">
      <c r="A102" s="272" t="str">
        <f ca="1">B330</f>
        <v>EN 250</v>
      </c>
      <c r="B102" s="284">
        <f ca="1">D330</f>
        <v>120</v>
      </c>
      <c r="C102" s="260">
        <f ca="1">E330*F330</f>
        <v>1.72</v>
      </c>
    </row>
    <row r="103" spans="1:9" x14ac:dyDescent="0.2">
      <c r="A103" s="331" t="s">
        <v>760</v>
      </c>
      <c r="B103" s="284">
        <f>IF(Techspecs!H49="Y",VLOOKUP(1,H391:M398,5),0)</f>
        <v>0</v>
      </c>
      <c r="C103" s="260">
        <f>IF(Techspecs!H49="Y",VLOOKUP(1,H391:M398,6),0)</f>
        <v>0</v>
      </c>
    </row>
    <row r="104" spans="1:9" x14ac:dyDescent="0.2">
      <c r="A104" s="367" t="s">
        <v>751</v>
      </c>
      <c r="B104" s="284">
        <f ca="1">ROUND(C272+10,-1)</f>
        <v>90</v>
      </c>
      <c r="C104" s="260">
        <f ca="1">M259</f>
        <v>22.05163125</v>
      </c>
    </row>
    <row r="105" spans="1:9" x14ac:dyDescent="0.2">
      <c r="A105" s="21" t="s">
        <v>189</v>
      </c>
      <c r="B105" s="37"/>
      <c r="C105" s="28"/>
      <c r="D105" s="28"/>
      <c r="E105" s="28"/>
      <c r="F105" s="28"/>
      <c r="G105" s="28"/>
      <c r="H105" s="28"/>
      <c r="I105" s="28"/>
    </row>
    <row r="106" spans="1:9" x14ac:dyDescent="0.2">
      <c r="A106" s="39" t="s">
        <v>190</v>
      </c>
      <c r="B106" s="40">
        <v>4</v>
      </c>
      <c r="C106" s="41"/>
      <c r="D106" s="41"/>
      <c r="E106" s="41"/>
      <c r="F106" s="41"/>
      <c r="G106" s="41"/>
      <c r="H106" s="41"/>
      <c r="I106" s="41"/>
    </row>
    <row r="107" spans="1:9" x14ac:dyDescent="0.2">
      <c r="A107" s="331" t="s">
        <v>754</v>
      </c>
      <c r="B107" s="284">
        <f>IF(Techspecs!H49="Y",VLOOKUP(1,H391:M398,3),0)</f>
        <v>0</v>
      </c>
      <c r="E107" s="260" t="s">
        <v>764</v>
      </c>
      <c r="F107" s="260">
        <f ca="1">IF(B38=B41,IF(B46&lt;3150,185,IF(B46&lt;5000,685,860)),0)</f>
        <v>0</v>
      </c>
    </row>
    <row r="108" spans="1:9" x14ac:dyDescent="0.2">
      <c r="A108" s="331" t="s">
        <v>755</v>
      </c>
      <c r="B108" s="284">
        <f>IF(Techspecs!H49="Y",VLOOKUP(1,H391:M398,4),0)</f>
        <v>0</v>
      </c>
      <c r="E108" s="260" t="s">
        <v>767</v>
      </c>
      <c r="F108" s="260">
        <f ca="1">IF(B37=B43,VLOOKUP(B280,A290:G297,6,FALSE),0)</f>
        <v>0</v>
      </c>
    </row>
    <row r="109" spans="1:9" x14ac:dyDescent="0.2">
      <c r="A109" s="331" t="s">
        <v>756</v>
      </c>
      <c r="B109" s="284">
        <f>IF(Techspecs!H48="Y",VLOOKUP(1,H387:M388,3),0)</f>
        <v>0</v>
      </c>
      <c r="E109" s="260" t="s">
        <v>768</v>
      </c>
      <c r="F109" s="260">
        <f ca="1">IF(B37=B43,VLOOKUP(B280,A290:G297,7,FALSE),0)</f>
        <v>0</v>
      </c>
    </row>
    <row r="110" spans="1:9" x14ac:dyDescent="0.2">
      <c r="A110" s="331" t="s">
        <v>757</v>
      </c>
      <c r="B110" s="284">
        <f>IF(Techspecs!H48="Y",VLOOKUP(1,H387:M388,4),0)</f>
        <v>0</v>
      </c>
    </row>
    <row r="111" spans="1:9" x14ac:dyDescent="0.2">
      <c r="A111" s="331" t="s">
        <v>758</v>
      </c>
      <c r="B111" s="284">
        <f>IF(Techspecs!C66="Y",Q!J400,0)</f>
        <v>400</v>
      </c>
    </row>
    <row r="112" spans="1:9" x14ac:dyDescent="0.2">
      <c r="A112" s="12"/>
      <c r="B112" s="4"/>
    </row>
    <row r="113" spans="1:15" x14ac:dyDescent="0.2">
      <c r="A113" s="289"/>
      <c r="B113" s="290"/>
      <c r="C113" s="336" t="s">
        <v>763</v>
      </c>
      <c r="D113" s="290"/>
    </row>
    <row r="114" spans="1:15" x14ac:dyDescent="0.2">
      <c r="A114" s="283" t="s">
        <v>114</v>
      </c>
      <c r="B114" s="336">
        <f ca="1">C114+D114</f>
        <v>1555</v>
      </c>
      <c r="C114" s="290">
        <v>20</v>
      </c>
      <c r="D114" s="289">
        <f ca="1">IF(B38&lt;&gt;B40,B94+F107+F108+B111,B94+2*B300+B111)</f>
        <v>1535</v>
      </c>
    </row>
    <row r="115" spans="1:15" x14ac:dyDescent="0.2">
      <c r="A115" s="283" t="s">
        <v>112</v>
      </c>
      <c r="B115" s="336">
        <f ca="1">C115+D115</f>
        <v>921</v>
      </c>
      <c r="C115" s="290">
        <v>20</v>
      </c>
      <c r="D115" s="289">
        <f ca="1">IF(B38&lt;&gt;B40,B95+F109+B107+B109,MAX(B95+2*B299,B95+B107+B109))</f>
        <v>901</v>
      </c>
    </row>
    <row r="116" spans="1:15" x14ac:dyDescent="0.2">
      <c r="A116" s="283" t="s">
        <v>113</v>
      </c>
      <c r="B116" s="336">
        <f ca="1">C116+D116</f>
        <v>1062</v>
      </c>
      <c r="C116" s="290">
        <v>20</v>
      </c>
      <c r="D116" s="289">
        <f ca="1">Q!B96+MAX(B98:B103)+Q!B104</f>
        <v>1042</v>
      </c>
      <c r="O116" s="18"/>
    </row>
    <row r="117" spans="1:15" x14ac:dyDescent="0.2">
      <c r="A117" s="368" t="s">
        <v>158</v>
      </c>
      <c r="B117" s="336">
        <f ca="1">ROUNDUP(C117+D117,-1)</f>
        <v>980</v>
      </c>
      <c r="C117" s="290">
        <v>50</v>
      </c>
      <c r="D117" s="290">
        <f ca="1">ROUND(VALUE(LEFT(P!C97,FIND("k",P!C97,1)-1))+SUM(C98:C104),0)</f>
        <v>921</v>
      </c>
      <c r="O117" s="18"/>
    </row>
    <row r="118" spans="1:15" x14ac:dyDescent="0.2">
      <c r="A118" s="368" t="s">
        <v>772</v>
      </c>
      <c r="B118" s="336">
        <f ca="1">ROUNDUP(C118+D118,-1)</f>
        <v>300</v>
      </c>
      <c r="C118" s="290"/>
      <c r="D118" s="290">
        <f ca="1">ROUNDUP(LEFT(P!C94,FIND("k",P!C94,1)-1),-1)</f>
        <v>300</v>
      </c>
      <c r="O118" s="18"/>
    </row>
    <row r="119" spans="1:15" x14ac:dyDescent="0.2">
      <c r="A119" s="368" t="s">
        <v>773</v>
      </c>
      <c r="B119" s="336">
        <f ca="1">ROUNDUP(C119+D119,-1)</f>
        <v>420</v>
      </c>
      <c r="C119" s="290"/>
      <c r="D119" s="290">
        <f ca="1">VALUE(LEFT(P!C92,FIND("k",P!C92,1)-1))</f>
        <v>414</v>
      </c>
      <c r="O119" s="18"/>
    </row>
    <row r="120" spans="1:15" x14ac:dyDescent="0.2">
      <c r="A120" s="368" t="s">
        <v>774</v>
      </c>
      <c r="B120" s="336">
        <f ca="1">ROUNDUP(C120+D120,-1)</f>
        <v>490</v>
      </c>
      <c r="C120" s="290">
        <v>50</v>
      </c>
      <c r="D120" s="290">
        <f ca="1">ROUND(D119+M258,0)</f>
        <v>434</v>
      </c>
      <c r="O120" s="18"/>
    </row>
    <row r="121" spans="1:15" x14ac:dyDescent="0.2">
      <c r="A121" s="8"/>
      <c r="B121" s="1"/>
      <c r="D121" s="4"/>
      <c r="O121" s="18"/>
    </row>
    <row r="122" spans="1:15" s="1" customFormat="1" x14ac:dyDescent="0.2">
      <c r="A122" s="21" t="s">
        <v>274</v>
      </c>
      <c r="B122" s="21"/>
      <c r="C122" s="38" t="s">
        <v>275</v>
      </c>
      <c r="D122" s="38"/>
      <c r="E122" s="21"/>
      <c r="F122" s="21" t="s">
        <v>276</v>
      </c>
      <c r="G122" s="21"/>
      <c r="H122" s="21"/>
      <c r="I122" s="21"/>
    </row>
    <row r="123" spans="1:15" x14ac:dyDescent="0.2">
      <c r="A123" s="2" t="s">
        <v>114</v>
      </c>
      <c r="C123" s="4">
        <v>12045</v>
      </c>
      <c r="F123">
        <v>5919</v>
      </c>
    </row>
    <row r="124" spans="1:15" x14ac:dyDescent="0.2">
      <c r="A124" s="2" t="s">
        <v>112</v>
      </c>
      <c r="C124" s="4">
        <v>2280</v>
      </c>
      <c r="F124">
        <v>2286</v>
      </c>
    </row>
    <row r="125" spans="1:15" x14ac:dyDescent="0.2">
      <c r="A125" s="2" t="s">
        <v>163</v>
      </c>
      <c r="B125">
        <v>100</v>
      </c>
      <c r="C125" s="4">
        <v>27396</v>
      </c>
      <c r="F125">
        <v>22100</v>
      </c>
    </row>
    <row r="126" spans="1:15" x14ac:dyDescent="0.2">
      <c r="A126" s="2" t="s">
        <v>277</v>
      </c>
      <c r="B126" s="4"/>
      <c r="C126">
        <f ca="1">ROUNDDOWN(C123/(B114+B123),0)</f>
        <v>7</v>
      </c>
      <c r="D126">
        <f ca="1">ROUNDDOWN(C124/(B115+B124),0)</f>
        <v>2</v>
      </c>
      <c r="E126" s="4"/>
      <c r="F126">
        <f ca="1">ROUNDDOWN(F123/(B114+B123),0)</f>
        <v>3</v>
      </c>
      <c r="G126">
        <f ca="1">ROUNDDOWN(F124/(B115+B124),0)</f>
        <v>2</v>
      </c>
    </row>
    <row r="127" spans="1:15" x14ac:dyDescent="0.2">
      <c r="A127" s="2" t="s">
        <v>278</v>
      </c>
      <c r="B127" s="4"/>
      <c r="C127">
        <f ca="1">ROUNDDOWN(C123/(B115+B124),0)</f>
        <v>13</v>
      </c>
      <c r="D127">
        <f ca="1">ROUNDDOWN(C124/(B114+B123),0)</f>
        <v>1</v>
      </c>
      <c r="E127" s="4"/>
      <c r="F127">
        <f ca="1">ROUNDDOWN(F123/(B115+B124),0)</f>
        <v>6</v>
      </c>
      <c r="G127">
        <f ca="1">ROUNDDOWN(F124/(B123+B114),0)</f>
        <v>1</v>
      </c>
    </row>
    <row r="128" spans="1:15" x14ac:dyDescent="0.2">
      <c r="A128" s="2" t="s">
        <v>163</v>
      </c>
      <c r="B128" s="38">
        <f ca="1">MIN(C128,MAX(C126*D126,C127*D127))</f>
        <v>14</v>
      </c>
      <c r="C128">
        <f ca="1">ROUNDDOWN(C125/(B117+B125),0)</f>
        <v>25</v>
      </c>
      <c r="E128" s="38">
        <f ca="1">MIN(F128,MAX(F126*G126,F127*G127))</f>
        <v>6</v>
      </c>
      <c r="F128">
        <f ca="1">ROUNDDOWN(F125/(B117+B125),0)</f>
        <v>20</v>
      </c>
    </row>
    <row r="129" spans="1:12" x14ac:dyDescent="0.2">
      <c r="A129" s="2"/>
      <c r="B129" s="4"/>
    </row>
    <row r="130" spans="1:12" ht="15.75" x14ac:dyDescent="0.25">
      <c r="A130" s="57" t="s">
        <v>271</v>
      </c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</row>
    <row r="131" spans="1:12" x14ac:dyDescent="0.2">
      <c r="A131" s="21"/>
      <c r="B131" s="37"/>
      <c r="C131" s="28"/>
      <c r="D131" s="28"/>
      <c r="E131" s="28"/>
      <c r="F131" s="28"/>
      <c r="G131" s="28"/>
      <c r="H131" s="28"/>
      <c r="I131" s="28"/>
    </row>
    <row r="132" spans="1:12" x14ac:dyDescent="0.2">
      <c r="A132" s="2" t="s">
        <v>272</v>
      </c>
      <c r="B132" s="4" t="str">
        <f ca="1">RIGHT(E132,LEN(E132)-FIND(":",E132)-1)</f>
        <v>10033OVL</v>
      </c>
      <c r="E132" t="str">
        <f ca="1">TRIM(P!B17)</f>
        <v>DER : 10033OVL</v>
      </c>
    </row>
    <row r="133" spans="1:12" x14ac:dyDescent="0.2">
      <c r="A133" s="2" t="s">
        <v>50</v>
      </c>
      <c r="B133" s="4" t="str">
        <f ca="1">RIGHT(I133,LEN(I133)-I134)</f>
        <v xml:space="preserve"> 2022.09.15</v>
      </c>
      <c r="C133">
        <f ca="1">FIND(":",E133,1)</f>
        <v>5</v>
      </c>
      <c r="D133">
        <f ca="1">FIND(" ",E133,1)</f>
        <v>6</v>
      </c>
      <c r="E133" t="str">
        <f ca="1">OFFSET(P!D13,MATCH(Q!F133,P!D14:D22, 0),4)</f>
        <v>Time: 08:16:38</v>
      </c>
      <c r="F133" t="s">
        <v>426</v>
      </c>
      <c r="I133" t="str">
        <f ca="1">OFFSET(P!D13,MATCH(Q!F133,P!D14:D22, 0),-2)</f>
        <v>TE: 2022.09.15</v>
      </c>
    </row>
    <row r="134" spans="1:12" x14ac:dyDescent="0.2">
      <c r="A134" s="2" t="s">
        <v>273</v>
      </c>
      <c r="B134" s="4" t="str">
        <f ca="1">RIGHT(E133,LEN(E133)-C133)</f>
        <v xml:space="preserve"> 08:16:38</v>
      </c>
      <c r="I134">
        <f ca="1">FIND(":",I133,1)</f>
        <v>3</v>
      </c>
    </row>
    <row r="135" spans="1:12" x14ac:dyDescent="0.2">
      <c r="A135" s="2" t="s">
        <v>73</v>
      </c>
      <c r="B135" s="4" t="str">
        <f ca="1">IF(P!F17=0," ",P!F17)</f>
        <v>EU</v>
      </c>
      <c r="C135" s="4" t="str">
        <f ca="1">IF(P!G17=0," ",P!G17)</f>
        <v xml:space="preserve"> </v>
      </c>
      <c r="D135" s="4" t="str">
        <f ca="1">IF(P!H17=0," ",P!H17)</f>
        <v xml:space="preserve"> </v>
      </c>
    </row>
    <row r="136" spans="1:12" x14ac:dyDescent="0.2">
      <c r="A136" s="2"/>
      <c r="B136" s="4"/>
    </row>
    <row r="137" spans="1:12" x14ac:dyDescent="0.2">
      <c r="A137" s="38"/>
      <c r="B137" s="21"/>
      <c r="C137" s="28"/>
      <c r="D137" s="37"/>
      <c r="E137" s="28"/>
      <c r="F137" s="28"/>
      <c r="G137" s="28"/>
      <c r="H137" s="28"/>
      <c r="I137" s="28"/>
      <c r="J137" s="28"/>
      <c r="K137" s="28"/>
      <c r="L137" s="28"/>
    </row>
    <row r="138" spans="1:12" x14ac:dyDescent="0.2">
      <c r="A138" s="61"/>
      <c r="B138" s="62"/>
      <c r="C138" s="63"/>
      <c r="D138" s="59"/>
      <c r="E138" s="64"/>
      <c r="F138" s="65"/>
      <c r="G138" s="64"/>
      <c r="H138" s="64"/>
      <c r="I138" s="64"/>
      <c r="J138" s="64"/>
      <c r="K138" s="64"/>
      <c r="L138" s="64"/>
    </row>
    <row r="139" spans="1:12" ht="15.75" x14ac:dyDescent="0.25">
      <c r="A139" s="57" t="s">
        <v>229</v>
      </c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</row>
    <row r="140" spans="1:12" x14ac:dyDescent="0.2">
      <c r="A140" s="1" t="s">
        <v>62</v>
      </c>
      <c r="B140" s="1" t="str">
        <f ca="1">LEFT(P!E41,FIND(".",P!E41,1)-1)</f>
        <v>205</v>
      </c>
      <c r="C140" s="1">
        <f ca="1">IF(H140=2,(B140-20-4)/2,B140-2)</f>
        <v>203</v>
      </c>
      <c r="D140" s="7" t="str">
        <f ca="1">LEFT(P!H57,FIND(".",P!E41,1)-1)</f>
        <v>139</v>
      </c>
      <c r="E140">
        <f ca="1">VALUE(RIGHT(P!H57,LEN(P!H57)-(FIND("/",P!H57))))</f>
        <v>138.22499999999999</v>
      </c>
      <c r="F140" t="str">
        <f ca="1">LEFT(P!H41,FIND(".",P!H41,1)-1)</f>
        <v>185</v>
      </c>
      <c r="G140">
        <f ca="1">IF(ISERROR(VALUE(RIGHT(P!H41,LEN(P!H41)-(FIND("x",P!H41))))),0,VALUE(RIGHT(P!H41,LEN(P!H41)-(FIND("x",P!H41)))))</f>
        <v>0</v>
      </c>
      <c r="H140">
        <f ca="1">VALUE(LEFT(P!H42,1))</f>
        <v>1</v>
      </c>
    </row>
    <row r="141" spans="1:12" x14ac:dyDescent="0.2">
      <c r="A141" s="1" t="s">
        <v>127</v>
      </c>
      <c r="B141" s="8">
        <f ca="1">ROUNDUP(VALUE(C141),0)</f>
        <v>232</v>
      </c>
      <c r="C141" s="2" t="str">
        <f ca="1">LEFT(P!E26,Q!D141-1)</f>
        <v xml:space="preserve">232.000 </v>
      </c>
      <c r="D141">
        <f ca="1">FIND("m",P!E26,1)</f>
        <v>9</v>
      </c>
    </row>
    <row r="142" spans="1:12" x14ac:dyDescent="0.2">
      <c r="A142" s="1" t="s">
        <v>152</v>
      </c>
      <c r="B142" s="8">
        <f ca="1">ROUND(VALUE(C142)+0.35,0)</f>
        <v>294</v>
      </c>
      <c r="C142" s="2" t="str">
        <f ca="1">LEFT(P!E27,Q!D142-1)</f>
        <v xml:space="preserve">293.182 </v>
      </c>
      <c r="D142">
        <f ca="1">FIND("m",P!E27,1)</f>
        <v>9</v>
      </c>
    </row>
    <row r="143" spans="1:12" x14ac:dyDescent="0.2">
      <c r="A143" s="1" t="s">
        <v>168</v>
      </c>
      <c r="B143" s="1" t="str">
        <f ca="1">TRIM(LEFT(P!C22,FIND("M",P!C25,1)-1))</f>
        <v>OVAL-IY</v>
      </c>
    </row>
    <row r="144" spans="1:12" x14ac:dyDescent="0.2">
      <c r="A144" s="1" t="s">
        <v>159</v>
      </c>
      <c r="B144" s="8">
        <f ca="1">VALUE(LEFT(P!H74,FIND(".",P!H74,1)-1))</f>
        <v>240</v>
      </c>
      <c r="C144" s="2" t="str">
        <f ca="1">RIGHT(P!H74,FIND("/",P!H74,1))</f>
        <v>70.00 mm</v>
      </c>
      <c r="D144" t="str">
        <f ca="1">LEFT(C144,FIND("m",C144,1)-5)</f>
        <v>70</v>
      </c>
      <c r="E144" t="str">
        <f ca="1">RIGHT(P!H74,LEN(P!H74)-FIND("m",P!H74,1)-1)</f>
        <v/>
      </c>
    </row>
    <row r="145" spans="1:12" x14ac:dyDescent="0.2">
      <c r="A145" s="1" t="s">
        <v>51</v>
      </c>
      <c r="B145" s="8">
        <f ca="1">VALUE(IF(LEFT(P!D44,5)="Inner",IF(OR(A206=B200,A206=B201),LEFT(P!E50,FIND(" ",P!E50,1)-1),IF(A206="CU-layer-rect",LEFT(P!E50,FIND("/",P!E50,1)-1))),LEFT(P!E49,FIND("/",P!E49,1)-1)))</f>
        <v>0.18</v>
      </c>
      <c r="C145" s="1"/>
      <c r="D145" s="1"/>
    </row>
    <row r="146" spans="1:12" x14ac:dyDescent="0.2">
      <c r="A146" s="1"/>
      <c r="B146" s="8"/>
      <c r="C146" s="1"/>
      <c r="D146" s="1"/>
    </row>
    <row r="147" spans="1:12" ht="15.75" x14ac:dyDescent="0.25">
      <c r="A147" s="57" t="s">
        <v>230</v>
      </c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</row>
    <row r="148" spans="1:12" x14ac:dyDescent="0.2">
      <c r="A148" s="1" t="s">
        <v>51</v>
      </c>
      <c r="B148" s="1">
        <f ca="1">IF(C148&lt;=0.25,0.15,MROUND(C148,0.05))</f>
        <v>0.15</v>
      </c>
      <c r="C148" s="69">
        <f ca="1">VALUE(IF(A206=B202,E148,F148))</f>
        <v>0.18</v>
      </c>
      <c r="D148" s="1">
        <f ca="1">VALUE(IF(LEFT(P!D44,5)="Inner",LEFT(P!H45,FIND("/",P!H45,1)-1),LEFT(P!H44,FIND("/",P!H44,1)-1)))</f>
        <v>2.94</v>
      </c>
      <c r="E148" s="201" t="str">
        <f ca="1">LEFT(P!E49,FIND("/",P!E49,1)-1)</f>
        <v xml:space="preserve">25.000 </v>
      </c>
      <c r="F148" s="2" t="str">
        <f ca="1">LEFT(P!E50,FIND("m",P!E50,1)-1)</f>
        <v xml:space="preserve">0.180 </v>
      </c>
    </row>
    <row r="149" spans="1:12" x14ac:dyDescent="0.2">
      <c r="A149" t="str">
        <f ca="1">C140&amp;"mm x 0.15 DDP DL"</f>
        <v>203mm x 0.15 DDP DL</v>
      </c>
      <c r="B149" s="4">
        <f ca="1">D148*C149*(1+B22/100)</f>
        <v>2.94</v>
      </c>
      <c r="C149">
        <f ca="1">IF(A206=B202,0,IF(OR(C148=F151,C148=F153),1,0))</f>
        <v>1</v>
      </c>
      <c r="E149" s="1"/>
      <c r="F149" s="120"/>
      <c r="G149" s="120" t="s">
        <v>269</v>
      </c>
      <c r="H149" s="120" t="s">
        <v>270</v>
      </c>
      <c r="I149" s="120" t="s">
        <v>269</v>
      </c>
      <c r="J149" s="120" t="s">
        <v>270</v>
      </c>
      <c r="K149" s="119"/>
      <c r="L149" s="119"/>
    </row>
    <row r="150" spans="1:12" x14ac:dyDescent="0.2">
      <c r="A150" t="str">
        <f ca="1">C140&amp;"mm x 0.15 DDP SL"</f>
        <v>203mm x 0.15 DDP SL</v>
      </c>
      <c r="B150" s="4">
        <f ca="1">IF(ISERROR(D148*C150*(1+B23/100)),0,D148*C150*(1+B23/100))</f>
        <v>0</v>
      </c>
      <c r="C150">
        <f ca="1">IF(B149=0,VLOOKUP(C148,F150:H180,2),0)</f>
        <v>0</v>
      </c>
      <c r="E150" s="1"/>
      <c r="F150" s="120">
        <v>0.15</v>
      </c>
      <c r="G150" s="120">
        <v>1</v>
      </c>
      <c r="H150" s="120"/>
      <c r="I150" s="120">
        <v>1</v>
      </c>
      <c r="J150" s="120"/>
      <c r="K150" s="119"/>
      <c r="L150" s="119"/>
    </row>
    <row r="151" spans="1:12" x14ac:dyDescent="0.2">
      <c r="A151" t="str">
        <f ca="1">C140&amp;"mm x 0.25 DDP SL"</f>
        <v>203mm x 0.25 DDP SL</v>
      </c>
      <c r="B151" s="4">
        <f ca="1">IF(ISERROR(D148*C151*(1+B24/100)),0,D148*C151*(1+B24/100))</f>
        <v>0</v>
      </c>
      <c r="C151">
        <f ca="1">IF(B149=0,VLOOKUP(C148,F150:H180,3),0)</f>
        <v>0</v>
      </c>
      <c r="E151" s="1"/>
      <c r="F151" s="283">
        <v>0.18</v>
      </c>
      <c r="G151" s="273">
        <v>1</v>
      </c>
      <c r="H151" s="273"/>
      <c r="I151" s="260">
        <v>1</v>
      </c>
      <c r="J151" s="371"/>
      <c r="K151" s="119"/>
      <c r="L151" s="69"/>
    </row>
    <row r="152" spans="1:12" x14ac:dyDescent="0.2">
      <c r="D152" s="119"/>
      <c r="E152" s="1"/>
      <c r="F152" s="283">
        <v>0.25</v>
      </c>
      <c r="G152" s="273">
        <v>1</v>
      </c>
      <c r="H152" s="273"/>
      <c r="I152" s="260">
        <v>1</v>
      </c>
      <c r="J152" s="371"/>
      <c r="K152" s="119"/>
      <c r="L152" s="69"/>
    </row>
    <row r="153" spans="1:12" ht="15.75" x14ac:dyDescent="0.25">
      <c r="A153" s="121"/>
      <c r="B153" s="119"/>
      <c r="C153" s="119"/>
      <c r="D153" s="119"/>
      <c r="E153" s="1"/>
      <c r="F153" s="283">
        <v>0.3</v>
      </c>
      <c r="G153" s="273">
        <v>1</v>
      </c>
      <c r="H153" s="273"/>
      <c r="I153" s="260">
        <v>2</v>
      </c>
      <c r="J153" s="371"/>
      <c r="K153" s="119"/>
      <c r="L153" s="69"/>
    </row>
    <row r="154" spans="1:12" x14ac:dyDescent="0.2">
      <c r="A154" s="1" t="s">
        <v>52</v>
      </c>
      <c r="B154" s="286">
        <f ca="1">IF(C154&lt;=0.25,"0.25",MROUND(C154,0.05))</f>
        <v>0.4</v>
      </c>
      <c r="C154" s="291">
        <f ca="1">VALUE(LEFT(P!E62,FIND("/",P!E62,1)-1))</f>
        <v>0.4</v>
      </c>
      <c r="D154" s="1" t="str">
        <f ca="1">LEFT(P!H61,FIND("/",P!H61,1)-1)</f>
        <v>7.82</v>
      </c>
      <c r="E154" s="1"/>
      <c r="F154" s="283">
        <v>0.35</v>
      </c>
      <c r="G154" s="273"/>
      <c r="H154" s="273">
        <v>1</v>
      </c>
      <c r="I154" s="260"/>
      <c r="J154" s="371">
        <v>1</v>
      </c>
      <c r="K154" s="119"/>
      <c r="L154" s="69"/>
    </row>
    <row r="155" spans="1:12" x14ac:dyDescent="0.2">
      <c r="A155" t="str">
        <f ca="1">C140&amp;"mm x 0.15 DDP SL"</f>
        <v>203mm x 0.15 DDP SL</v>
      </c>
      <c r="B155" s="4">
        <f ca="1">IF(ISERROR(D154*C155*(1+B24/100)+VLOOKUP(H53,I53:K64,3)*C155),0,D154*C155*(1+B24/100)+VLOOKUP(H53,I53:K64,3)*C155)</f>
        <v>0</v>
      </c>
      <c r="C155">
        <f ca="1">IF(E155=E156,VLOOKUP(C154,F150:H182,2),0)</f>
        <v>0</v>
      </c>
      <c r="E155" s="119">
        <f ca="1">VALUE(LEFT(P!E62,FIND("/",P!E62)-1))</f>
        <v>0.4</v>
      </c>
      <c r="F155" s="284">
        <v>0.4</v>
      </c>
      <c r="G155" s="285">
        <v>0.5</v>
      </c>
      <c r="H155" s="285">
        <v>0.5</v>
      </c>
      <c r="I155" s="260">
        <v>1</v>
      </c>
      <c r="J155" s="371">
        <v>1</v>
      </c>
      <c r="K155" s="119"/>
      <c r="L155" s="4"/>
    </row>
    <row r="156" spans="1:12" x14ac:dyDescent="0.2">
      <c r="A156" t="str">
        <f ca="1">C140&amp;"mm x 0.25 DDP SL"</f>
        <v>203mm x 0.25 DDP SL</v>
      </c>
      <c r="B156" s="4">
        <f ca="1">IF(ISERROR(D154*C156*(1+B24/100)+VLOOKUP(H53,I53:K64,3)*C156),0,IF(OR(C160=1,C159=1),VLOOKUP(H53,I53:K64,3),D154*C156*(1+B24/100)+VLOOKUP(H53,I53:K64,3)*C156))</f>
        <v>0.5</v>
      </c>
      <c r="C156">
        <f ca="1">IF(E155=E156,VLOOKUP(C154,F150:H182,3),0)</f>
        <v>0</v>
      </c>
      <c r="E156">
        <f ca="1">IF(ISERROR(VALUE(LEFT(P!H63,FIND("m",P!H63)-1))),VALUE(MID(P!H63,FIND("m",P!H63)-7,7)),VALUE(LEFT(P!H63,FIND("m",P!H63)-1)))</f>
        <v>0.26500000000000001</v>
      </c>
      <c r="F156" s="283">
        <v>0.45</v>
      </c>
      <c r="G156" s="273">
        <v>1</v>
      </c>
      <c r="H156" s="273"/>
      <c r="I156" s="260">
        <v>3</v>
      </c>
      <c r="J156" s="260"/>
      <c r="L156" s="69"/>
    </row>
    <row r="157" spans="1:12" x14ac:dyDescent="0.2">
      <c r="B157" s="4"/>
      <c r="F157" s="283">
        <v>0.5</v>
      </c>
      <c r="G157" s="285"/>
      <c r="H157" s="285">
        <v>1</v>
      </c>
      <c r="I157" s="260"/>
      <c r="J157" s="260">
        <v>2</v>
      </c>
      <c r="L157" s="69"/>
    </row>
    <row r="158" spans="1:12" x14ac:dyDescent="0.2">
      <c r="A158" s="1" t="s">
        <v>630</v>
      </c>
      <c r="B158" s="4"/>
      <c r="D158" s="1" t="str">
        <f ca="1">LEFT(P!H61,FIND("/",P!H61,1)-1)</f>
        <v>7.82</v>
      </c>
      <c r="F158" s="283">
        <v>0.55000000000000004</v>
      </c>
      <c r="G158" s="273">
        <v>0.67</v>
      </c>
      <c r="H158" s="273">
        <v>0.33</v>
      </c>
      <c r="I158" s="260">
        <v>2</v>
      </c>
      <c r="J158" s="371">
        <v>1</v>
      </c>
      <c r="L158" s="69"/>
    </row>
    <row r="159" spans="1:12" x14ac:dyDescent="0.2">
      <c r="A159" s="17" t="str">
        <f ca="1">A176 &amp;" x 0.05 mm Strip"</f>
        <v>33 x 0.05 mm Strip</v>
      </c>
      <c r="B159" s="4">
        <f ca="1">(D158+B175)*C159*(1+B25/100)</f>
        <v>11.058734114</v>
      </c>
      <c r="C159">
        <f ca="1">IF(E155=E156,0,IF(B172=33,1,0))</f>
        <v>1</v>
      </c>
      <c r="F159" s="283">
        <v>0.6</v>
      </c>
      <c r="G159" s="285">
        <v>1</v>
      </c>
      <c r="H159" s="285"/>
      <c r="I159" s="260">
        <v>4</v>
      </c>
      <c r="J159" s="260"/>
      <c r="L159" s="69"/>
    </row>
    <row r="160" spans="1:12" x14ac:dyDescent="0.2">
      <c r="A160" s="17" t="str">
        <f ca="1">A176 &amp;" x 0.075 mm Strip"</f>
        <v>33 x 0.075 mm Strip</v>
      </c>
      <c r="B160" s="4">
        <f ca="1">(D158+B175)*C160*(1+B25/100)</f>
        <v>0</v>
      </c>
      <c r="C160">
        <f ca="1">IF(E155=E156,0,IF(OR(B172=18,B172=45),1,0))</f>
        <v>0</v>
      </c>
      <c r="F160" s="283">
        <v>0.65</v>
      </c>
      <c r="G160" s="273"/>
      <c r="H160" s="273">
        <v>1</v>
      </c>
      <c r="I160" s="260"/>
      <c r="J160" s="260">
        <v>2</v>
      </c>
      <c r="L160" s="69"/>
    </row>
    <row r="161" spans="1:12" x14ac:dyDescent="0.2">
      <c r="B161" s="4"/>
      <c r="F161" s="283">
        <v>0.7</v>
      </c>
      <c r="G161" s="285">
        <f>3/4</f>
        <v>0.75</v>
      </c>
      <c r="H161" s="285">
        <f>1/4</f>
        <v>0.25</v>
      </c>
      <c r="I161" s="260">
        <v>3</v>
      </c>
      <c r="J161" s="260">
        <v>1</v>
      </c>
      <c r="L161" s="69"/>
    </row>
    <row r="162" spans="1:12" x14ac:dyDescent="0.2">
      <c r="A162" s="286" t="str">
        <f ca="1">C140&amp;"mm x 0.15 DDP DL"</f>
        <v>203mm x 0.15 DDP DL</v>
      </c>
      <c r="B162" s="287">
        <f ca="1">B149*(1+Q!B22/100)</f>
        <v>2.94</v>
      </c>
      <c r="F162" s="283">
        <v>0.75</v>
      </c>
      <c r="G162" s="285"/>
      <c r="H162" s="273">
        <v>1</v>
      </c>
      <c r="I162" s="260"/>
      <c r="J162" s="260">
        <v>3</v>
      </c>
      <c r="L162" s="69"/>
    </row>
    <row r="163" spans="1:12" x14ac:dyDescent="0.2">
      <c r="A163" s="286" t="str">
        <f ca="1">C140&amp;"mm x 0.15 DDP SL"</f>
        <v>203mm x 0.15 DDP SL</v>
      </c>
      <c r="B163" s="287">
        <f ca="1">(B150+B155)*(1+Q!B23/100)</f>
        <v>0</v>
      </c>
      <c r="F163" s="283">
        <v>0.8</v>
      </c>
      <c r="G163" s="285">
        <f>2/4</f>
        <v>0.5</v>
      </c>
      <c r="H163" s="285">
        <f>2/4</f>
        <v>0.5</v>
      </c>
      <c r="I163" s="260">
        <v>2</v>
      </c>
      <c r="J163" s="260">
        <v>2</v>
      </c>
      <c r="L163" s="69"/>
    </row>
    <row r="164" spans="1:12" x14ac:dyDescent="0.2">
      <c r="A164" s="286" t="str">
        <f ca="1">C140&amp;"mm x 0.25 DDP SL"</f>
        <v>203mm x 0.25 DDP SL</v>
      </c>
      <c r="B164" s="287">
        <f ca="1">(B151+B156)*(1+Q!B24/100)</f>
        <v>0.5</v>
      </c>
      <c r="F164" s="283">
        <v>0.85</v>
      </c>
      <c r="G164" s="285">
        <f>4/5</f>
        <v>0.8</v>
      </c>
      <c r="H164" s="285">
        <f>1/5</f>
        <v>0.2</v>
      </c>
      <c r="I164" s="260">
        <v>4</v>
      </c>
      <c r="J164" s="260">
        <v>1</v>
      </c>
      <c r="K164" s="370" t="s">
        <v>639</v>
      </c>
      <c r="L164" s="69"/>
    </row>
    <row r="165" spans="1:12" x14ac:dyDescent="0.2">
      <c r="B165" s="4"/>
      <c r="F165" s="283">
        <v>0.9</v>
      </c>
      <c r="G165" s="285">
        <f>1/4</f>
        <v>0.25</v>
      </c>
      <c r="H165" s="285">
        <f>3/4</f>
        <v>0.75</v>
      </c>
      <c r="I165" s="260">
        <v>1</v>
      </c>
      <c r="J165" s="260">
        <v>3</v>
      </c>
      <c r="K165" s="290">
        <v>8</v>
      </c>
      <c r="L165" s="69"/>
    </row>
    <row r="166" spans="1:12" x14ac:dyDescent="0.2">
      <c r="A166" s="1" t="s">
        <v>57</v>
      </c>
      <c r="B166">
        <f ca="1">VLOOKUP(ROUNDUP(A167/2,0),K165:K172,1)</f>
        <v>8</v>
      </c>
      <c r="F166" s="283">
        <v>0.95</v>
      </c>
      <c r="G166" s="273"/>
      <c r="H166" s="273">
        <v>1</v>
      </c>
      <c r="I166" s="260"/>
      <c r="J166" s="260">
        <v>3</v>
      </c>
      <c r="K166" s="290">
        <v>18</v>
      </c>
      <c r="L166" s="69"/>
    </row>
    <row r="167" spans="1:12" x14ac:dyDescent="0.2">
      <c r="A167" s="7">
        <f ca="1">B140-LEFT(P!H41,FIND(".",P!H41,1))</f>
        <v>20</v>
      </c>
      <c r="B167" s="7" t="str">
        <f ca="1">LEFT(IF(ISERROR(C167)=TRUE,C207,RIGHT(P!H42,D167-C167-1)),LEN(IF(ISERROR(C167)=TRUE,C207,RIGHT(P!H42,D167-C167-1)))-2)</f>
        <v>0.2</v>
      </c>
      <c r="C167" s="7">
        <f ca="1">FIND("x",P!H42,Q!D206+1)</f>
        <v>13</v>
      </c>
      <c r="D167" s="7">
        <f ca="1">LEN(P!H42)</f>
        <v>19</v>
      </c>
      <c r="F167" s="283" t="s">
        <v>631</v>
      </c>
      <c r="G167" s="273"/>
      <c r="H167" s="273" t="s">
        <v>378</v>
      </c>
      <c r="I167" s="260"/>
      <c r="J167" s="260">
        <v>4</v>
      </c>
      <c r="K167" s="290">
        <v>27</v>
      </c>
      <c r="L167" s="69"/>
    </row>
    <row r="168" spans="1:12" x14ac:dyDescent="0.2">
      <c r="A168" s="7" t="str">
        <f ca="1">IF(LEFT(P!D44,5)="Inner",LEFT(P!C48,FIND("m",P!C48,1)-2),LEFT(P!C47,FIND("m",P!C47,1)-2))</f>
        <v>607.171</v>
      </c>
      <c r="B168" s="7" t="str">
        <f ca="1">IF(ISERROR(E168),LEFT(P!C49,FIND(":",P!C49)-1),RIGHT(P!C42,D168-C168))</f>
        <v xml:space="preserve">   36.0</v>
      </c>
      <c r="C168" s="7">
        <f ca="1">FIND("x",P!C42,1)</f>
        <v>3</v>
      </c>
      <c r="D168" s="7">
        <f ca="1">LEN(P!C42)</f>
        <v>10</v>
      </c>
      <c r="E168">
        <f ca="1">IF(ISERROR(FIND("x",P!C42,1)),P!C42,FIND("x",P!C42,1))</f>
        <v>3</v>
      </c>
      <c r="F168" s="283" t="s">
        <v>632</v>
      </c>
      <c r="G168" s="273">
        <f>4/6</f>
        <v>0.66666666666666663</v>
      </c>
      <c r="H168" s="273">
        <f>2/6</f>
        <v>0.33333333333333331</v>
      </c>
      <c r="I168" s="260">
        <v>4</v>
      </c>
      <c r="J168" s="260">
        <v>2</v>
      </c>
      <c r="K168" s="290">
        <v>33</v>
      </c>
      <c r="L168" s="69"/>
    </row>
    <row r="169" spans="1:12" x14ac:dyDescent="0.2">
      <c r="A169" s="7"/>
      <c r="B169" s="7" t="e">
        <f ca="1">LEFT(P!C49,FIND(":",P!C49,1)-1)</f>
        <v>#VALUE!</v>
      </c>
      <c r="C169" s="7"/>
      <c r="D169" s="7"/>
      <c r="F169" s="283" t="s">
        <v>633</v>
      </c>
      <c r="G169" s="285">
        <v>1</v>
      </c>
      <c r="H169" s="285"/>
      <c r="I169" s="260">
        <f>I159*2</f>
        <v>8</v>
      </c>
      <c r="J169" s="260">
        <f>J159*2</f>
        <v>0</v>
      </c>
      <c r="K169" s="290">
        <v>45</v>
      </c>
      <c r="L169" s="69"/>
    </row>
    <row r="170" spans="1:12" x14ac:dyDescent="0.2">
      <c r="A170" s="9">
        <f ca="1">IF(ISERROR(B168)=TRUE,A168*D168,A168*B168)</f>
        <v>21858.156000000003</v>
      </c>
      <c r="B170" s="7">
        <f ca="1">A167*B167*A170*0.00000086*(1+B23/100)*3</f>
        <v>0.22557616992000001</v>
      </c>
      <c r="C170" s="9"/>
      <c r="D170" s="7"/>
      <c r="F170" s="283">
        <v>1.25</v>
      </c>
      <c r="G170" s="273"/>
      <c r="H170" s="273">
        <v>1</v>
      </c>
      <c r="I170" s="260">
        <f>I160*2</f>
        <v>0</v>
      </c>
      <c r="J170" s="260">
        <f>J160*2</f>
        <v>4</v>
      </c>
      <c r="L170" s="69"/>
    </row>
    <row r="171" spans="1:12" x14ac:dyDescent="0.2">
      <c r="A171" s="27">
        <f ca="1">IF(A206="CU-Rectangular","("&amp;(B140-G140)/2&amp;" - "&amp;(B140-G140)/2+(G140-F140)&amp;")",B166)</f>
        <v>8</v>
      </c>
      <c r="B171" s="3">
        <f ca="1">IF(B167&lt;0.25,0.13,0.25)</f>
        <v>0.25</v>
      </c>
      <c r="C171" s="9"/>
      <c r="D171" s="7"/>
      <c r="F171" s="283" t="s">
        <v>634</v>
      </c>
      <c r="G171" s="273">
        <v>0.67</v>
      </c>
      <c r="H171" s="273">
        <v>0.33</v>
      </c>
      <c r="I171" s="260">
        <v>4</v>
      </c>
      <c r="J171" s="260">
        <v>2</v>
      </c>
      <c r="L171" s="69"/>
    </row>
    <row r="172" spans="1:12" x14ac:dyDescent="0.2">
      <c r="A172" s="1" t="s">
        <v>48</v>
      </c>
      <c r="B172">
        <f ca="1">VLOOKUP(ROUNDUP(A173/2,0),K165:K172,1)</f>
        <v>33</v>
      </c>
      <c r="F172" s="283" t="s">
        <v>635</v>
      </c>
      <c r="G172" s="285">
        <f>3/4</f>
        <v>0.75</v>
      </c>
      <c r="H172" s="285">
        <f>1/4</f>
        <v>0.25</v>
      </c>
      <c r="I172" s="260">
        <v>6</v>
      </c>
      <c r="J172" s="260">
        <v>2</v>
      </c>
      <c r="K172" s="2"/>
      <c r="L172" s="69"/>
    </row>
    <row r="173" spans="1:12" x14ac:dyDescent="0.2">
      <c r="A173" s="7">
        <f ca="1">B140-LEFT(P!H57,FIND(".",P!H57,1))</f>
        <v>66</v>
      </c>
      <c r="B173" s="7" t="str">
        <f ca="1">RIGHT(P!H58,D173-C173-1)</f>
        <v>0.700</v>
      </c>
      <c r="C173" s="7">
        <f ca="1">FIND("x",P!H58,E211+1)</f>
        <v>12</v>
      </c>
      <c r="D173" s="7">
        <f ca="1">LEN(P!H58)</f>
        <v>18</v>
      </c>
      <c r="F173" s="283" t="s">
        <v>636</v>
      </c>
      <c r="G173" s="285"/>
      <c r="H173" s="273">
        <v>1</v>
      </c>
      <c r="I173" s="260"/>
      <c r="J173" s="260">
        <v>6</v>
      </c>
      <c r="L173" s="4"/>
    </row>
    <row r="174" spans="1:12" x14ac:dyDescent="0.2">
      <c r="A174" s="7" t="str">
        <f ca="1">LEFT(P!C62,FIND("m",P!C62,1)-1)</f>
        <v xml:space="preserve">876.5 </v>
      </c>
      <c r="B174" s="7" t="str">
        <f ca="1">LEFT(P!C65,FIND("#",P!C65,1)-1)</f>
        <v>31</v>
      </c>
      <c r="C174" s="7"/>
      <c r="D174" s="7"/>
      <c r="F174" s="284">
        <v>1.6</v>
      </c>
      <c r="G174" s="285">
        <f>2/4</f>
        <v>0.5</v>
      </c>
      <c r="H174" s="285">
        <f>2/4</f>
        <v>0.5</v>
      </c>
      <c r="I174" s="260">
        <v>4</v>
      </c>
      <c r="J174" s="260">
        <v>4</v>
      </c>
      <c r="L174" s="4"/>
    </row>
    <row r="175" spans="1:12" x14ac:dyDescent="0.2">
      <c r="A175" s="9">
        <f ca="1">A174*B174</f>
        <v>27171.5</v>
      </c>
      <c r="B175" s="7">
        <f ca="1">IF(OR(A211="AL-Rectangular",A211="CU-rectangular"),B174*B173*A175*0.00000086*(1+B23/100)*3,A173*B173*A175*0.00000086*(1+B23/100)*3)</f>
        <v>3.2387341139999997</v>
      </c>
      <c r="C175" s="9"/>
      <c r="D175" s="7"/>
      <c r="F175" s="284">
        <v>1.7</v>
      </c>
      <c r="G175" s="285">
        <f>4/5</f>
        <v>0.8</v>
      </c>
      <c r="H175" s="285">
        <f>1/5</f>
        <v>0.2</v>
      </c>
      <c r="I175" s="260">
        <v>8</v>
      </c>
      <c r="J175" s="260">
        <v>2</v>
      </c>
      <c r="L175" s="4"/>
    </row>
    <row r="176" spans="1:12" x14ac:dyDescent="0.2">
      <c r="A176" s="29">
        <f ca="1">IF(A211="CU-Rectangular","("&amp;(B140-D140)/2&amp;" - "&amp;(B140-D140)/2+(D140-E140)&amp;")",B172)</f>
        <v>33</v>
      </c>
      <c r="B176" s="27">
        <f ca="1">IF(OR(B159=0,B160=0),0.25,0)</f>
        <v>0.25</v>
      </c>
      <c r="C176" s="9"/>
      <c r="D176" s="7"/>
      <c r="F176" s="284">
        <v>1.8</v>
      </c>
      <c r="G176" s="285">
        <f>1/4</f>
        <v>0.25</v>
      </c>
      <c r="H176" s="285">
        <f>3/4</f>
        <v>0.75</v>
      </c>
      <c r="I176" s="260">
        <v>2</v>
      </c>
      <c r="J176" s="260">
        <v>6</v>
      </c>
      <c r="L176" s="4"/>
    </row>
    <row r="177" spans="1:15" x14ac:dyDescent="0.2">
      <c r="A177" s="1" t="s">
        <v>203</v>
      </c>
      <c r="F177" s="284">
        <v>1.9</v>
      </c>
      <c r="G177" s="273"/>
      <c r="H177" s="273">
        <v>1</v>
      </c>
      <c r="I177" s="260"/>
      <c r="J177" s="260">
        <v>6</v>
      </c>
      <c r="L177" s="4"/>
    </row>
    <row r="178" spans="1:15" s="2" customFormat="1" x14ac:dyDescent="0.2">
      <c r="A178" s="12" t="s">
        <v>59</v>
      </c>
      <c r="B178" s="2">
        <f ca="1">VALUE(RIGHT(P!H45,Q!C178-Q!D178))</f>
        <v>7.0000000000000007E-2</v>
      </c>
      <c r="C178" s="2">
        <f ca="1">LEN(P!H45)</f>
        <v>18</v>
      </c>
      <c r="D178" s="2">
        <f ca="1">FIND("/",P!H45,E178+1)</f>
        <v>12</v>
      </c>
      <c r="E178" s="2">
        <f ca="1">FIND("/",P!H45,1)</f>
        <v>5</v>
      </c>
      <c r="F178" s="284">
        <v>2</v>
      </c>
      <c r="G178" s="273"/>
      <c r="H178" s="273" t="s">
        <v>378</v>
      </c>
      <c r="I178" s="272"/>
      <c r="J178" s="272">
        <v>8</v>
      </c>
      <c r="L178" s="69"/>
    </row>
    <row r="179" spans="1:15" s="2" customFormat="1" x14ac:dyDescent="0.2">
      <c r="A179" s="12" t="s">
        <v>100</v>
      </c>
      <c r="B179" s="2">
        <f ca="1">VALUE(RIGHT(P!H61,Q!C179-Q!D179))</f>
        <v>0.32</v>
      </c>
      <c r="C179" s="2">
        <f ca="1">LEN(P!H61)</f>
        <v>18</v>
      </c>
      <c r="D179" s="2">
        <f ca="1">FIND("/",P!H61,E179+1)</f>
        <v>12</v>
      </c>
      <c r="E179" s="2">
        <f ca="1">FIND("/",P!H61,1)</f>
        <v>5</v>
      </c>
      <c r="F179" s="283">
        <v>2.1</v>
      </c>
      <c r="G179" s="273">
        <f>4/10</f>
        <v>0.4</v>
      </c>
      <c r="H179" s="273">
        <f>6/10</f>
        <v>0.6</v>
      </c>
      <c r="I179" s="272"/>
      <c r="J179" s="331">
        <v>8</v>
      </c>
      <c r="L179" s="69"/>
    </row>
    <row r="180" spans="1:15" s="2" customFormat="1" x14ac:dyDescent="0.2">
      <c r="A180" s="47"/>
      <c r="B180" s="48">
        <f ca="1">SUM(B178:B179)*(1+B25/100)</f>
        <v>0.39</v>
      </c>
      <c r="F180" s="283">
        <v>2.2000000000000002</v>
      </c>
      <c r="G180" s="273">
        <f>4/6</f>
        <v>0.66666666666666663</v>
      </c>
      <c r="H180" s="273">
        <f>2/6</f>
        <v>0.33333333333333331</v>
      </c>
      <c r="I180" s="272">
        <v>1</v>
      </c>
      <c r="J180" s="331">
        <v>8</v>
      </c>
    </row>
    <row r="181" spans="1:15" x14ac:dyDescent="0.2">
      <c r="A181" s="1" t="s">
        <v>204</v>
      </c>
      <c r="F181" s="367">
        <v>2.2999999999999998</v>
      </c>
      <c r="G181" s="284">
        <v>0.17</v>
      </c>
      <c r="H181" s="284">
        <v>0.83</v>
      </c>
      <c r="I181" s="260">
        <v>2</v>
      </c>
      <c r="J181" s="331">
        <v>10</v>
      </c>
    </row>
    <row r="182" spans="1:15" s="2" customFormat="1" x14ac:dyDescent="0.2">
      <c r="A182" s="47"/>
      <c r="B182" s="27">
        <f ca="1">VALUE(LEFT(TRIM(P!E93),C182-1))*(1+B26/100)</f>
        <v>4.3099999999999996</v>
      </c>
      <c r="C182" s="7">
        <f ca="1">FIND("k",TRIM(P!E93),1)</f>
        <v>6</v>
      </c>
      <c r="F182" s="367">
        <v>2.4500000000000002</v>
      </c>
      <c r="G182" s="283">
        <v>0.23</v>
      </c>
      <c r="H182" s="283">
        <v>0.77</v>
      </c>
      <c r="I182" s="272">
        <v>3</v>
      </c>
      <c r="J182" s="331">
        <v>10</v>
      </c>
    </row>
    <row r="183" spans="1:15" s="2" customFormat="1" x14ac:dyDescent="0.2">
      <c r="A183" s="12"/>
      <c r="B183" s="7"/>
      <c r="C183" s="7"/>
    </row>
    <row r="184" spans="1:15" ht="15.75" x14ac:dyDescent="0.25">
      <c r="A184" s="57" t="s">
        <v>231</v>
      </c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</row>
    <row r="185" spans="1:15" s="1" customFormat="1" x14ac:dyDescent="0.2">
      <c r="A185" s="21" t="s">
        <v>36</v>
      </c>
      <c r="B185" s="21" t="s">
        <v>166</v>
      </c>
      <c r="C185" s="21" t="s">
        <v>165</v>
      </c>
      <c r="D185" s="21" t="s">
        <v>157</v>
      </c>
      <c r="E185" s="21" t="s">
        <v>160</v>
      </c>
      <c r="F185" s="21" t="s">
        <v>162</v>
      </c>
      <c r="G185" s="21" t="s">
        <v>167</v>
      </c>
      <c r="H185" s="21" t="s">
        <v>161</v>
      </c>
      <c r="I185" s="21" t="s">
        <v>164</v>
      </c>
      <c r="J185" s="21" t="s">
        <v>163</v>
      </c>
      <c r="K185" s="1" t="s">
        <v>598</v>
      </c>
    </row>
    <row r="186" spans="1:15" x14ac:dyDescent="0.2">
      <c r="A186" s="2">
        <f ca="1">VALUE(MID(P!F25,Q!D186+1,Q!E186-Q!D186-1))</f>
        <v>130</v>
      </c>
      <c r="B186">
        <f ca="1">F186+H186*100</f>
        <v>73</v>
      </c>
      <c r="C186">
        <f t="shared" ref="C186:C193" ca="1" si="0">VALUE(J186)*(1+B$16/100)</f>
        <v>156.80000000000001</v>
      </c>
      <c r="D186" s="2">
        <f ca="1">FIND(":",P!F25,1)</f>
        <v>7</v>
      </c>
      <c r="E186" s="2">
        <f ca="1">FIND(".",P!F25,1)</f>
        <v>13</v>
      </c>
      <c r="F186">
        <f ca="1">ROUNDUP(VALUE(LEFT(P!H25,Q!G186-1)),0)</f>
        <v>73</v>
      </c>
      <c r="G186">
        <f ca="1">FIND("m",P!H25,1)</f>
        <v>8</v>
      </c>
      <c r="H186" s="2">
        <f ca="1">VALUE(P!G25)</f>
        <v>0</v>
      </c>
      <c r="I186">
        <f ca="1">FIND("k",P!H25,1)</f>
        <v>19</v>
      </c>
      <c r="J186" t="str">
        <f ca="1">MID(P!H25,Q!G186+2,Q!I186-Q!G186-2)</f>
        <v xml:space="preserve">   156.8 </v>
      </c>
      <c r="K186" s="7" t="e">
        <f ca="1">_xlfn.CEILING.MATH(LEFT(P!C38,FIND("/",P!C38)-1),0.5)</f>
        <v>#VALUE!</v>
      </c>
      <c r="L186" s="2"/>
      <c r="M186">
        <f ca="1">IF(A186&gt;0,A186,"")</f>
        <v>130</v>
      </c>
    </row>
    <row r="187" spans="1:15" x14ac:dyDescent="0.2">
      <c r="A187" s="2">
        <f ca="1">VALUE(MID(P!F26,Q!D187+1,Q!E187-Q!D187-1))</f>
        <v>120</v>
      </c>
      <c r="B187">
        <f ca="1">(F187+H187*100)</f>
        <v>51</v>
      </c>
      <c r="C187">
        <f t="shared" ca="1" si="0"/>
        <v>99.2</v>
      </c>
      <c r="D187" s="2">
        <f ca="1">FIND(":",P!F26,1)</f>
        <v>7</v>
      </c>
      <c r="E187" s="2">
        <f ca="1">FIND(".",P!F26,1)</f>
        <v>13</v>
      </c>
      <c r="F187">
        <f ca="1">ROUNDUP(VALUE(LEFT(P!H26,Q!G187-1)),0)</f>
        <v>51</v>
      </c>
      <c r="G187">
        <f ca="1">FIND("m",P!H26,1)</f>
        <v>8</v>
      </c>
      <c r="H187" s="2">
        <f ca="1">VALUE(P!G26)</f>
        <v>0</v>
      </c>
      <c r="I187">
        <f ca="1">FIND("k",P!H26,1)</f>
        <v>19</v>
      </c>
      <c r="J187" t="str">
        <f ca="1">MID(P!H26,Q!G187+2,Q!I187-Q!G187-2)</f>
        <v xml:space="preserve">    99.2 </v>
      </c>
      <c r="K187" s="7">
        <f ca="1">IF($N$191=M187,$N$189,B187)</f>
        <v>51</v>
      </c>
      <c r="M187">
        <f t="shared" ref="M187:M194" ca="1" si="1">IF(A187&gt;0,A187,"")</f>
        <v>120</v>
      </c>
      <c r="N187" t="e">
        <f ca="1">VALUE(RIGHT(P!D38,FIND("/",P!D38)-1))</f>
        <v>#VALUE!</v>
      </c>
      <c r="O187" t="e">
        <f ca="1">VALUE(LEFT(P!E38,FIND("(",P!E38)-1))</f>
        <v>#VALUE!</v>
      </c>
    </row>
    <row r="188" spans="1:15" x14ac:dyDescent="0.2">
      <c r="A188" s="2">
        <f ca="1">VALUE(MID(P!F27,Q!D188+1,Q!E188-Q!D188-1))</f>
        <v>100</v>
      </c>
      <c r="B188">
        <f t="shared" ref="B188:B193" ca="1" si="2">F188+H188*100</f>
        <v>33</v>
      </c>
      <c r="C188">
        <f t="shared" ca="1" si="0"/>
        <v>52.5</v>
      </c>
      <c r="D188" s="2">
        <f ca="1">FIND(":",P!F27,1)</f>
        <v>7</v>
      </c>
      <c r="E188" s="2">
        <f ca="1">FIND(".",P!F27,1)</f>
        <v>13</v>
      </c>
      <c r="F188">
        <f ca="1">ROUNDUP(VALUE(LEFT(P!H27,Q!G188-1)),0)</f>
        <v>33</v>
      </c>
      <c r="G188">
        <f ca="1">FIND("m",P!H27,1)</f>
        <v>8</v>
      </c>
      <c r="H188" s="2">
        <f ca="1">VALUE(P!G27)</f>
        <v>0</v>
      </c>
      <c r="I188">
        <f ca="1">FIND("k",P!H27,1)</f>
        <v>19</v>
      </c>
      <c r="J188" t="str">
        <f ca="1">MID(P!H27,Q!G188+2,Q!I188-Q!G188-2)</f>
        <v xml:space="preserve">    52.5 </v>
      </c>
      <c r="K188" s="7">
        <f t="shared" ref="K188:K194" ca="1" si="3">IF($N$191=M188,$N$189,B188)</f>
        <v>33</v>
      </c>
      <c r="M188">
        <f t="shared" ca="1" si="1"/>
        <v>100</v>
      </c>
      <c r="N188" t="e">
        <f ca="1">ROUND((N187+O187/100)/0.5,0)*0.5</f>
        <v>#VALUE!</v>
      </c>
    </row>
    <row r="189" spans="1:15" x14ac:dyDescent="0.2">
      <c r="A189" s="2">
        <f ca="1">VALUE(MID(P!F28,Q!D189+1,Q!E189-Q!D189-1))</f>
        <v>70</v>
      </c>
      <c r="B189">
        <f t="shared" ca="1" si="2"/>
        <v>27</v>
      </c>
      <c r="C189">
        <f t="shared" ca="1" si="0"/>
        <v>29.6</v>
      </c>
      <c r="D189" s="2">
        <f ca="1">FIND(":",P!F28,1)</f>
        <v>7</v>
      </c>
      <c r="E189" s="2">
        <f ca="1">FIND(".",P!F28,1)</f>
        <v>13</v>
      </c>
      <c r="F189">
        <f ca="1">ROUNDUP(VALUE(LEFT(P!H28,Q!G189-1)),0)</f>
        <v>27</v>
      </c>
      <c r="G189">
        <f ca="1">FIND("m",P!H28,1)</f>
        <v>8</v>
      </c>
      <c r="H189" s="2">
        <f ca="1">VALUE(P!G28)</f>
        <v>0</v>
      </c>
      <c r="I189">
        <f ca="1">FIND("k",P!H28,1)</f>
        <v>19</v>
      </c>
      <c r="J189" t="str">
        <f ca="1">MID(P!H28,Q!G189+2,Q!I189-Q!G189-2)</f>
        <v xml:space="preserve">    29.6 </v>
      </c>
      <c r="K189" s="7" t="e">
        <f t="shared" ca="1" si="3"/>
        <v>#VALUE!</v>
      </c>
      <c r="M189">
        <f t="shared" ca="1" si="1"/>
        <v>70</v>
      </c>
      <c r="N189" t="e">
        <f ca="1">B190/2-(B190-N188)</f>
        <v>#VALUE!</v>
      </c>
    </row>
    <row r="190" spans="1:15" x14ac:dyDescent="0.2">
      <c r="A190" s="2">
        <f ca="1">VALUE(MID(P!F29,Q!D190+1,Q!E190-Q!D190-1))</f>
        <v>0</v>
      </c>
      <c r="B190">
        <f t="shared" ca="1" si="2"/>
        <v>0</v>
      </c>
      <c r="C190">
        <f t="shared" ca="1" si="0"/>
        <v>0</v>
      </c>
      <c r="D190" s="2">
        <f ca="1">FIND(":",P!F29,1)</f>
        <v>7</v>
      </c>
      <c r="E190" s="2">
        <f ca="1">FIND(".",P!F29,1)</f>
        <v>13</v>
      </c>
      <c r="F190">
        <f ca="1">ROUNDUP(VALUE(LEFT(P!H29,Q!G190-1)),0)</f>
        <v>0</v>
      </c>
      <c r="G190">
        <f ca="1">FIND("m",P!H29,1)</f>
        <v>7</v>
      </c>
      <c r="H190" s="2">
        <f ca="1">VALUE(P!G29)</f>
        <v>0</v>
      </c>
      <c r="I190">
        <f ca="1">FIND("k",P!H29,1)</f>
        <v>18</v>
      </c>
      <c r="J190" t="str">
        <f ca="1">MID(P!H29,Q!G190+2,Q!I190-Q!G190-2)</f>
        <v xml:space="preserve">     0.0 </v>
      </c>
      <c r="K190" s="7">
        <f t="shared" ca="1" si="3"/>
        <v>0</v>
      </c>
      <c r="M190" t="str">
        <f t="shared" ca="1" si="1"/>
        <v/>
      </c>
    </row>
    <row r="191" spans="1:15" x14ac:dyDescent="0.2">
      <c r="A191" s="2">
        <f ca="1">VALUE(MID(P!F30,Q!D191+1,Q!E191-Q!D191-1))</f>
        <v>0</v>
      </c>
      <c r="B191">
        <f t="shared" ca="1" si="2"/>
        <v>0</v>
      </c>
      <c r="C191">
        <f t="shared" ca="1" si="0"/>
        <v>0</v>
      </c>
      <c r="D191" s="2">
        <f ca="1">FIND(":",P!F30,1)</f>
        <v>7</v>
      </c>
      <c r="E191" s="2">
        <f ca="1">FIND(".",P!F30,1)</f>
        <v>13</v>
      </c>
      <c r="F191">
        <f ca="1">ROUNDUP(VALUE(LEFT(P!H30,Q!G191-1)),0)</f>
        <v>0</v>
      </c>
      <c r="G191">
        <f ca="1">FIND("m",P!H30,1)</f>
        <v>7</v>
      </c>
      <c r="H191" s="2">
        <f ca="1">VALUE(P!G30)</f>
        <v>0</v>
      </c>
      <c r="I191">
        <f ca="1">FIND("k",P!H30,1)</f>
        <v>18</v>
      </c>
      <c r="J191" t="str">
        <f ca="1">MID(P!H30,Q!G191+2,Q!I191-Q!G191-2)</f>
        <v xml:space="preserve">     0.0 </v>
      </c>
      <c r="K191" s="7">
        <f t="shared" ca="1" si="3"/>
        <v>0</v>
      </c>
      <c r="M191" t="str">
        <f t="shared" ca="1" si="1"/>
        <v/>
      </c>
      <c r="N191">
        <f ca="1">MIN(M186:M194)</f>
        <v>70</v>
      </c>
    </row>
    <row r="192" spans="1:15" x14ac:dyDescent="0.2">
      <c r="A192" s="2">
        <f ca="1">VALUE(MID(P!F31,Q!D192+1,Q!E192-Q!D192-1))</f>
        <v>0</v>
      </c>
      <c r="B192">
        <f t="shared" ca="1" si="2"/>
        <v>0</v>
      </c>
      <c r="C192">
        <f t="shared" ca="1" si="0"/>
        <v>0</v>
      </c>
      <c r="D192" s="2">
        <f ca="1">FIND(":",P!F31,1)</f>
        <v>7</v>
      </c>
      <c r="E192" s="2">
        <f ca="1">FIND(".",P!F31,1)</f>
        <v>13</v>
      </c>
      <c r="F192">
        <f ca="1">ROUNDUP(VALUE(LEFT(P!H31,Q!G192-1)),0)</f>
        <v>0</v>
      </c>
      <c r="G192">
        <f ca="1">FIND("m",P!H31,1)</f>
        <v>7</v>
      </c>
      <c r="H192" s="2">
        <f ca="1">VALUE(P!G31)</f>
        <v>0</v>
      </c>
      <c r="I192">
        <f ca="1">FIND("k",P!H31,1)</f>
        <v>18</v>
      </c>
      <c r="J192" t="str">
        <f ca="1">MID(P!H31,Q!G192+2,Q!I192-Q!G192-2)</f>
        <v xml:space="preserve">     0.0 </v>
      </c>
      <c r="K192" s="7">
        <f t="shared" ca="1" si="3"/>
        <v>0</v>
      </c>
      <c r="M192" t="str">
        <f t="shared" ca="1" si="1"/>
        <v/>
      </c>
    </row>
    <row r="193" spans="1:13" x14ac:dyDescent="0.2">
      <c r="A193" s="2">
        <f ca="1">VALUE(MID(P!F32,Q!D193+1,Q!E193-Q!D193-1))</f>
        <v>0</v>
      </c>
      <c r="B193">
        <f t="shared" ca="1" si="2"/>
        <v>0</v>
      </c>
      <c r="C193">
        <f t="shared" ca="1" si="0"/>
        <v>0</v>
      </c>
      <c r="D193" s="2">
        <f ca="1">FIND(":",P!F32,1)</f>
        <v>7</v>
      </c>
      <c r="E193" s="2">
        <f ca="1">FIND(".",P!F32,1)</f>
        <v>13</v>
      </c>
      <c r="F193">
        <f ca="1">ROUNDUP(VALUE(LEFT(P!H32,Q!G193-1)),0)</f>
        <v>0</v>
      </c>
      <c r="G193">
        <f ca="1">FIND("m",P!H32,1)</f>
        <v>7</v>
      </c>
      <c r="H193" s="2">
        <f ca="1">VALUE(P!G32)</f>
        <v>0</v>
      </c>
      <c r="I193">
        <f ca="1">FIND("k",P!H32,1)</f>
        <v>18</v>
      </c>
      <c r="J193" t="str">
        <f ca="1">MID(P!H32,Q!G193+2,Q!I193-Q!G193-2)</f>
        <v xml:space="preserve">     0.0 </v>
      </c>
      <c r="K193" s="7">
        <f t="shared" ca="1" si="3"/>
        <v>0</v>
      </c>
      <c r="M193" t="str">
        <f t="shared" ca="1" si="1"/>
        <v/>
      </c>
    </row>
    <row r="194" spans="1:13" x14ac:dyDescent="0.2">
      <c r="A194" s="2">
        <f ca="1">VALUE(MID(P!F33,Q!D194+1,Q!E194-Q!D194-1))</f>
        <v>0</v>
      </c>
      <c r="B194">
        <f ca="1">F194+H194*100</f>
        <v>0</v>
      </c>
      <c r="C194">
        <f ca="1">VALUE(J194)*(1+B$16/100)</f>
        <v>0</v>
      </c>
      <c r="D194" s="2">
        <f ca="1">FIND(":",P!F33,1)</f>
        <v>7</v>
      </c>
      <c r="E194" s="2">
        <f ca="1">FIND(".",P!F33,1)</f>
        <v>13</v>
      </c>
      <c r="F194">
        <f ca="1">ROUNDUP(VALUE(LEFT(P!H33,Q!G194-1)),0)</f>
        <v>0</v>
      </c>
      <c r="G194">
        <f ca="1">FIND("m",P!H33,1)</f>
        <v>7</v>
      </c>
      <c r="H194" s="2">
        <f ca="1">VALUE(P!G33)</f>
        <v>0</v>
      </c>
      <c r="I194">
        <f ca="1">FIND("k",P!H33,1)</f>
        <v>18</v>
      </c>
      <c r="J194" t="str">
        <f ca="1">MID(P!H33,Q!G194+2,Q!I194-Q!G194-2)</f>
        <v xml:space="preserve">     0.0 </v>
      </c>
      <c r="K194" s="7">
        <f t="shared" ca="1" si="3"/>
        <v>0</v>
      </c>
      <c r="M194" t="str">
        <f t="shared" ca="1" si="1"/>
        <v/>
      </c>
    </row>
    <row r="195" spans="1:13" x14ac:dyDescent="0.2">
      <c r="A195" s="6" t="s">
        <v>283</v>
      </c>
      <c r="B195" s="6">
        <f ca="1">SUM(B186:B193)</f>
        <v>184</v>
      </c>
      <c r="C195" s="11">
        <f ca="1">VALUE(D195)*(1+B$16/100)</f>
        <v>338.1</v>
      </c>
      <c r="D195">
        <f ca="1">VALUE(LEFT(P!E33,FIND("k",P!E33,1)-1))</f>
        <v>338.1</v>
      </c>
      <c r="E195" s="2"/>
      <c r="H195" s="2"/>
    </row>
    <row r="196" spans="1:13" x14ac:dyDescent="0.2">
      <c r="A196" t="s">
        <v>64</v>
      </c>
      <c r="B196" t="str">
        <f ca="1">TRIM(LEFT(P!C26,FIND("/",P!C26,1)-1))</f>
        <v>23ZDKH</v>
      </c>
      <c r="C196" s="2"/>
      <c r="D196" s="2"/>
    </row>
    <row r="197" spans="1:13" x14ac:dyDescent="0.2">
      <c r="A197" s="6" t="s">
        <v>65</v>
      </c>
      <c r="B197" s="11" t="str">
        <f ca="1">IF(B196="27ZH00", "27ZH100",IF(B196="23ZDKH", "23ZDKH85",IF(B196="27M4", "27M4")))</f>
        <v>23ZDKH85</v>
      </c>
      <c r="C197" s="2"/>
      <c r="D197" s="2"/>
    </row>
    <row r="198" spans="1:13" s="2" customFormat="1" x14ac:dyDescent="0.2">
      <c r="A198" s="12"/>
      <c r="B198" s="7"/>
      <c r="C198" s="7"/>
    </row>
    <row r="199" spans="1:13" ht="15.75" x14ac:dyDescent="0.25">
      <c r="A199" s="57" t="s">
        <v>232</v>
      </c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</row>
    <row r="200" spans="1:13" s="2" customFormat="1" x14ac:dyDescent="0.2">
      <c r="A200" s="2" t="s">
        <v>59</v>
      </c>
      <c r="B200" s="2" t="s">
        <v>224</v>
      </c>
    </row>
    <row r="201" spans="1:13" s="2" customFormat="1" x14ac:dyDescent="0.2">
      <c r="B201" s="2" t="s">
        <v>267</v>
      </c>
    </row>
    <row r="202" spans="1:13" s="2" customFormat="1" x14ac:dyDescent="0.2">
      <c r="B202" s="2" t="s">
        <v>255</v>
      </c>
    </row>
    <row r="203" spans="1:13" s="2" customFormat="1" x14ac:dyDescent="0.2">
      <c r="A203" s="2" t="s">
        <v>100</v>
      </c>
      <c r="B203" s="2" t="s">
        <v>15</v>
      </c>
    </row>
    <row r="204" spans="1:13" s="2" customFormat="1" x14ac:dyDescent="0.2">
      <c r="B204" s="2" t="s">
        <v>256</v>
      </c>
    </row>
    <row r="205" spans="1:13" x14ac:dyDescent="0.2">
      <c r="A205" s="1" t="s">
        <v>37</v>
      </c>
    </row>
    <row r="206" spans="1:13" x14ac:dyDescent="0.2">
      <c r="A206" s="2" t="str">
        <f ca="1">P!C41</f>
        <v>CU-Foil</v>
      </c>
      <c r="B206" s="2" t="str">
        <f ca="1">IF(OR(A206=B200,A206=B201),LEFT(RIGHT(P!H42,Q!C206-Q!D206),LEN(RIGHT(P!H42,Q!C206-Q!D206))-1),LEFT(RIGHT(P!H42,Q!C206-Q!D206),LEN(RIGHT(P!H42,Q!C206-Q!D206))-2))</f>
        <v xml:space="preserve"> 185.00 x 0.24</v>
      </c>
      <c r="C206">
        <f ca="1">LEN(P!H42)</f>
        <v>19</v>
      </c>
      <c r="D206">
        <f ca="1">IF(OR(A206=B200,A206=B201),FIND("x",P!H42,E206+1))</f>
        <v>4</v>
      </c>
      <c r="E206">
        <f ca="1">IF(OR(A206=B200,A206=B201),FIND("x",P!H42,1))</f>
        <v>2</v>
      </c>
    </row>
    <row r="207" spans="1:13" x14ac:dyDescent="0.2">
      <c r="A207" s="2" t="str">
        <f ca="1">IF(ISERROR(B207)=TRUE,A206,IF(B207=C207,B203,IF(A206=B202,B204,0)))</f>
        <v>CU-Foil</v>
      </c>
      <c r="B207" s="201" t="e">
        <f ca="1">VALUE(MID(P!H42,Q!E207+1,Q!D207-Q!E207-1))</f>
        <v>#VALUE!</v>
      </c>
      <c r="C207" s="203" t="e">
        <f ca="1">VALUE(LEFT(P!H42,Q!E207-1))</f>
        <v>#VALUE!</v>
      </c>
      <c r="D207" s="203" t="e">
        <f ca="1">FIND("m",P!H42,1)</f>
        <v>#VALUE!</v>
      </c>
      <c r="E207" s="203" t="e">
        <f ca="1">FIND("X",P!H42,1)</f>
        <v>#VALUE!</v>
      </c>
    </row>
    <row r="208" spans="1:13" x14ac:dyDescent="0.2">
      <c r="A208" s="2"/>
      <c r="B208" s="2" t="str">
        <f ca="1">IF(A207=B203,B207,IF(A207=B204,B207&amp;"x"&amp;C207,B206))</f>
        <v xml:space="preserve"> 185.00 x 0.24</v>
      </c>
      <c r="C208">
        <f ca="1">VALUE(LEFT(B208,FIND("x",B208)-1))</f>
        <v>185</v>
      </c>
      <c r="D208">
        <f ca="1">VALUE(RIGHT(B208,LEN(B208)-FIND("x",B208)))</f>
        <v>0.24</v>
      </c>
    </row>
    <row r="209" spans="1:12" x14ac:dyDescent="0.2">
      <c r="A209" s="3" t="str">
        <f ca="1">B208&amp;"mm "&amp;IF(C208=D208,B203,A207)</f>
        <v xml:space="preserve"> 185.00 x 0.24mm CU-Foil</v>
      </c>
      <c r="B209" s="3">
        <f ca="1">LEFT(P!H43,FIND("/",P!H43,1)-1)*(1+B18/100)</f>
        <v>26.09</v>
      </c>
      <c r="C209" t="str">
        <f ca="1">LEFT(P!H43,FIND("/",P!H43,1)-1)</f>
        <v xml:space="preserve">26.09 </v>
      </c>
    </row>
    <row r="210" spans="1:12" x14ac:dyDescent="0.2">
      <c r="A210" s="1" t="s">
        <v>38</v>
      </c>
    </row>
    <row r="211" spans="1:12" x14ac:dyDescent="0.2">
      <c r="A211" s="2" t="str">
        <f ca="1">P!C58</f>
        <v>CU-Round</v>
      </c>
      <c r="B211" s="2" t="str">
        <f ca="1">RIGHT(P!H58,Q!C211-Q!E211)</f>
        <v xml:space="preserve"> 0.700 x 0.700</v>
      </c>
      <c r="C211">
        <f ca="1">LEN(P!H58)</f>
        <v>18</v>
      </c>
      <c r="D211">
        <f ca="1">FIND("x",P!H58,E211+1)</f>
        <v>12</v>
      </c>
      <c r="E211">
        <f ca="1">FIND("x",P!H58,F211+1)</f>
        <v>4</v>
      </c>
      <c r="F211">
        <f ca="1">FIND("x",P!H58,1)</f>
        <v>2</v>
      </c>
      <c r="G211" s="7">
        <f ca="1">VALUE(MID(P!H58,FIND("x",P!H58)+1,FIND("x",P!H58,FIND("x",P!H58)+1)-FIND("x",P!H58)-1))</f>
        <v>1</v>
      </c>
    </row>
    <row r="212" spans="1:12" x14ac:dyDescent="0.2">
      <c r="A212" s="2"/>
      <c r="B212" s="2" t="str">
        <f ca="1">RIGHT(P!H58,Q!C211-D211)</f>
        <v xml:space="preserve"> 0.700</v>
      </c>
    </row>
    <row r="213" spans="1:12" x14ac:dyDescent="0.2">
      <c r="A213" s="3" t="str">
        <f ca="1">IF(A211=B203,B212&amp;"mm "&amp;A211,B211&amp;"mm "&amp;A211)</f>
        <v xml:space="preserve"> 0.700mm CU-Round</v>
      </c>
      <c r="B213" s="3">
        <f ca="1">LEFT(P!H60,FIND("k",P!H60,1)-1)*(1+B19/100)+IF(OR(K50=0,L50=0),VLOOKUP(B46,I53:J64,2)*1.33,0)</f>
        <v>48.97</v>
      </c>
      <c r="C213" t="str">
        <f ca="1">LEFT(P!H60,FIND("k",P!H60,1)-1)</f>
        <v xml:space="preserve">48.97 </v>
      </c>
    </row>
    <row r="214" spans="1:12" x14ac:dyDescent="0.2">
      <c r="A214" s="1" t="s">
        <v>53</v>
      </c>
    </row>
    <row r="215" spans="1:12" x14ac:dyDescent="0.2">
      <c r="A215" t="s">
        <v>54</v>
      </c>
      <c r="B215" s="7" t="str">
        <f ca="1">MID(P!H43,C215+1,D215-C215-1)</f>
        <v xml:space="preserve">   1.77 </v>
      </c>
      <c r="C215" s="7">
        <f ca="1">FIND("/",P!H43,1)</f>
        <v>7</v>
      </c>
      <c r="D215" s="7">
        <f ca="1">FIND("k",P!H43,1)</f>
        <v>16</v>
      </c>
    </row>
    <row r="216" spans="1:12" x14ac:dyDescent="0.2">
      <c r="A216" t="s">
        <v>55</v>
      </c>
      <c r="B216" s="7" t="str">
        <f ca="1">LEFT(P!C95,FIND("/",P!C95,1)-1)</f>
        <v>1</v>
      </c>
      <c r="C216" s="7"/>
      <c r="D216" s="7"/>
    </row>
    <row r="217" spans="1:12" x14ac:dyDescent="0.2">
      <c r="A217" t="s">
        <v>56</v>
      </c>
      <c r="B217" s="1">
        <f ca="1">((B215+B216)*(1+B20/100))</f>
        <v>2.77</v>
      </c>
      <c r="C217" s="16"/>
      <c r="D217" s="1">
        <f ca="1">VALUE(MID(P!E48,Q!G217+1,F217-G217-1))</f>
        <v>3</v>
      </c>
      <c r="E217" s="1">
        <f ca="1">VALUE(LEFT(P!E48,Q!G217-1))</f>
        <v>25</v>
      </c>
      <c r="F217">
        <f ca="1">FIND("m",P!E48,G217)</f>
        <v>17</v>
      </c>
      <c r="G217">
        <f ca="1">FIND("/",P!E48,1)</f>
        <v>8</v>
      </c>
      <c r="H217">
        <f ca="1">LEN(P!E48)</f>
        <v>18</v>
      </c>
    </row>
    <row r="218" spans="1:12" x14ac:dyDescent="0.2">
      <c r="C218" s="7"/>
    </row>
    <row r="219" spans="1:12" x14ac:dyDescent="0.2">
      <c r="A219" s="3" t="str">
        <f ca="1">D217&amp;"*"&amp;E217&amp;"mm"</f>
        <v>3*25mm</v>
      </c>
      <c r="B219" s="3">
        <f ca="1">(B217/0.0000089)/(D217*E217)/1000</f>
        <v>4.1498127340823965</v>
      </c>
    </row>
    <row r="220" spans="1:12" x14ac:dyDescent="0.2">
      <c r="A220" s="6" t="s">
        <v>844</v>
      </c>
      <c r="B220" s="3">
        <f ca="1">(LEFT(P!C94,FIND("k",P!C94,1)-1)/0.87)*(1+B17/100)</f>
        <v>339.08045977011494</v>
      </c>
    </row>
    <row r="221" spans="1:12" s="2" customFormat="1" x14ac:dyDescent="0.2">
      <c r="A221" s="12"/>
      <c r="B221" s="7"/>
      <c r="C221" s="7"/>
    </row>
    <row r="222" spans="1:12" ht="15.75" x14ac:dyDescent="0.25">
      <c r="A222" s="57" t="s">
        <v>233</v>
      </c>
      <c r="B222" s="57"/>
      <c r="C222" s="56"/>
      <c r="D222" s="56"/>
      <c r="E222" s="56"/>
      <c r="F222" s="56"/>
      <c r="G222" s="56"/>
      <c r="H222" s="56"/>
      <c r="I222" s="56"/>
      <c r="J222" s="56"/>
      <c r="K222" s="56"/>
      <c r="L222" s="56"/>
    </row>
    <row r="223" spans="1:12" x14ac:dyDescent="0.2">
      <c r="A223" s="1" t="s">
        <v>292</v>
      </c>
      <c r="B223" s="1">
        <f xml:space="preserve"> 0.00000785</f>
        <v>7.8499999999999994E-6</v>
      </c>
      <c r="C223" s="1"/>
      <c r="D223" s="9"/>
      <c r="E223" s="7"/>
    </row>
    <row r="224" spans="1:12" x14ac:dyDescent="0.2">
      <c r="A224" s="1" t="s">
        <v>201</v>
      </c>
      <c r="B224" s="12" t="s">
        <v>640</v>
      </c>
      <c r="C224" s="7" t="s">
        <v>294</v>
      </c>
      <c r="D224" s="9"/>
      <c r="E224" s="7"/>
    </row>
    <row r="225" spans="1:5" x14ac:dyDescent="0.2">
      <c r="A225" s="9" t="s">
        <v>196</v>
      </c>
      <c r="B225" s="7">
        <f ca="1">VALUE(LEFT(P!C96,Q!D225-1))</f>
        <v>23</v>
      </c>
      <c r="C225" s="179">
        <f ca="1">M258</f>
        <v>20.299942999999999</v>
      </c>
      <c r="D225" s="9">
        <f ca="1">FIND("/",P!C96,1)</f>
        <v>3</v>
      </c>
      <c r="E225" s="7">
        <f ca="1">FIND("k",P!C96,Q!D225)</f>
        <v>11</v>
      </c>
    </row>
    <row r="226" spans="1:5" x14ac:dyDescent="0.2">
      <c r="A226" s="9" t="s">
        <v>197</v>
      </c>
      <c r="B226" s="7">
        <f ca="1">VALUE(MID(P!C96,D225+1,E225-D225-1))</f>
        <v>106</v>
      </c>
      <c r="C226" s="179"/>
      <c r="D226" s="9"/>
      <c r="E226" s="7"/>
    </row>
    <row r="227" spans="1:5" x14ac:dyDescent="0.2">
      <c r="A227" s="9" t="s">
        <v>293</v>
      </c>
      <c r="B227" s="7">
        <f ca="1">B226-B235</f>
        <v>27</v>
      </c>
      <c r="C227" s="179">
        <f ca="1">M259+M262+H267+H268+H272</f>
        <v>44.27378805</v>
      </c>
      <c r="D227" s="9"/>
      <c r="E227" s="7"/>
    </row>
    <row r="228" spans="1:5" x14ac:dyDescent="0.2">
      <c r="A228" s="9" t="s">
        <v>200</v>
      </c>
      <c r="B228" s="7">
        <f ca="1">VALUE(LEFT(TRIM(P!C93),D228-1))</f>
        <v>41</v>
      </c>
      <c r="C228" s="179">
        <f ca="1">H265+H266+H269+H270+H271+H273</f>
        <v>29.121929999999995</v>
      </c>
      <c r="D228" s="7">
        <f ca="1">FIND("k",TRIM(P!C93),1)</f>
        <v>4</v>
      </c>
      <c r="E228" s="7"/>
    </row>
    <row r="229" spans="1:5" x14ac:dyDescent="0.2">
      <c r="A229" s="9" t="s">
        <v>188</v>
      </c>
      <c r="B229" s="7">
        <f ca="1">IF(E38="Conservator",VALUE(LEFT(TRIM(P!E92),D229-1)),0)</f>
        <v>0</v>
      </c>
      <c r="C229" s="179">
        <f ca="1">M260</f>
        <v>0</v>
      </c>
      <c r="D229" s="202" t="e">
        <f ca="1">FIND("k",TRIM(P!E92),1)</f>
        <v>#VALUE!</v>
      </c>
    </row>
    <row r="230" spans="1:5" x14ac:dyDescent="0.2">
      <c r="A230" s="9"/>
      <c r="B230" s="16">
        <f ca="1">ROUND(B225+B227+B228+B229,0)</f>
        <v>91</v>
      </c>
      <c r="C230" s="180">
        <f ca="1">ROUND(C225+C227+C228+C229,0)</f>
        <v>94</v>
      </c>
      <c r="D230" s="7"/>
    </row>
    <row r="231" spans="1:5" x14ac:dyDescent="0.2">
      <c r="A231" s="67"/>
      <c r="B231" s="67">
        <f ca="1">MAX(B230,C230)*(1+B13/100)</f>
        <v>94</v>
      </c>
      <c r="C231" s="67"/>
      <c r="D231" s="69"/>
      <c r="E231" s="69"/>
    </row>
    <row r="232" spans="1:5" x14ac:dyDescent="0.2">
      <c r="A232" s="8" t="s">
        <v>202</v>
      </c>
      <c r="B232" s="7"/>
      <c r="C232" s="9"/>
      <c r="D232" s="7"/>
    </row>
    <row r="233" spans="1:5" x14ac:dyDescent="0.2">
      <c r="A233" s="9" t="s">
        <v>199</v>
      </c>
      <c r="B233" s="7">
        <f ca="1">IF(OR(E37="Ribs",E37="Rib "),VALUE(RIGHT(TRIM(P!E94),C233-D233-1)),0)</f>
        <v>79</v>
      </c>
      <c r="C233" s="9">
        <f ca="1">LEN(TRIM(P!E94))</f>
        <v>14</v>
      </c>
      <c r="D233" s="7">
        <f ca="1">FIND("m",TRIM(P!E94),1)</f>
        <v>10</v>
      </c>
    </row>
    <row r="234" spans="1:5" x14ac:dyDescent="0.2">
      <c r="A234" s="9" t="s">
        <v>198</v>
      </c>
      <c r="B234" s="7">
        <f ca="1">IF(E37="Rads",VALUE(LEFT(TRIM(P!E94),C234-1)),0)</f>
        <v>0</v>
      </c>
      <c r="C234" s="7">
        <f ca="1">FIND("k",TRIM(P!E94),1)</f>
        <v>6</v>
      </c>
    </row>
    <row r="235" spans="1:5" x14ac:dyDescent="0.2">
      <c r="A235" s="9"/>
      <c r="B235" s="7">
        <f ca="1">SUM(B233:B234)</f>
        <v>79</v>
      </c>
      <c r="C235" s="7"/>
    </row>
    <row r="236" spans="1:5" x14ac:dyDescent="0.2">
      <c r="A236" s="54"/>
      <c r="B236" s="27">
        <f ca="1">B235*(1+B10/100)</f>
        <v>79</v>
      </c>
      <c r="C236" s="9"/>
      <c r="D236" s="7"/>
    </row>
    <row r="237" spans="1:5" x14ac:dyDescent="0.2">
      <c r="A237" s="8" t="s">
        <v>385</v>
      </c>
      <c r="B237" s="12">
        <f ca="1">B225+B227+B229+B236</f>
        <v>129</v>
      </c>
      <c r="C237" s="9"/>
      <c r="D237" s="7"/>
    </row>
    <row r="238" spans="1:5" x14ac:dyDescent="0.2">
      <c r="A238" s="320" t="s">
        <v>195</v>
      </c>
      <c r="B238" s="320"/>
      <c r="C238" s="50"/>
      <c r="D238" s="50"/>
    </row>
    <row r="239" spans="1:5" x14ac:dyDescent="0.2">
      <c r="A239" s="321" t="str">
        <f ca="1">"MS Ch  76x38x6 , L= "&amp;D273&amp;"mm"</f>
        <v>MS Ch  76x38x6 , L= 1025mm</v>
      </c>
      <c r="B239" s="322">
        <f>76*6+2*(38-6)*6</f>
        <v>840</v>
      </c>
      <c r="E239" s="15"/>
    </row>
    <row r="240" spans="1:5" x14ac:dyDescent="0.2">
      <c r="A240" s="321" t="str">
        <f ca="1">"MS Ch 100x50x6 , L= "&amp;D273&amp;"mm"</f>
        <v>MS Ch 100x50x6 , L= 1025mm</v>
      </c>
      <c r="B240" s="322">
        <f>100*6+2*(50-6)*6</f>
        <v>1128</v>
      </c>
      <c r="E240" s="15"/>
    </row>
    <row r="241" spans="1:13" x14ac:dyDescent="0.2">
      <c r="A241" s="321" t="str">
        <f ca="1">"MS Ch 127x64x6 , L= "&amp;D273&amp;"mm"</f>
        <v>MS Ch 127x64x6 , L= 1025mm</v>
      </c>
      <c r="B241" s="322">
        <f>127*6+2*(64-6)*6</f>
        <v>1458</v>
      </c>
      <c r="E241" s="15"/>
    </row>
    <row r="242" spans="1:13" x14ac:dyDescent="0.2">
      <c r="A242" s="321" t="str">
        <f ca="1">"MS Ch 152x76x6 , L= "&amp;D273&amp;"mm"</f>
        <v>MS Ch 152x76x6 , L= 1025mm</v>
      </c>
      <c r="B242" s="322">
        <f>152*6+2*(76-6)*6</f>
        <v>1752</v>
      </c>
      <c r="E242" s="15"/>
    </row>
    <row r="243" spans="1:13" x14ac:dyDescent="0.2">
      <c r="A243" s="321" t="str">
        <f ca="1">"MS Ch 200x75x9 , L= "&amp;D273&amp;"mm"</f>
        <v>MS Ch 200x75x9 , L= 1025mm</v>
      </c>
      <c r="B243" s="322">
        <f>200*9+2*(75-9)*9</f>
        <v>2988</v>
      </c>
      <c r="E243" s="15"/>
    </row>
    <row r="244" spans="1:13" x14ac:dyDescent="0.2">
      <c r="A244" s="322" t="str">
        <f ca="1">B273&amp;"mm MS Plate "&amp;D273&amp;"x"&amp;C273&amp;"x"&amp;B273&amp;"mm"</f>
        <v>4mm MS Plate 1025x192x4mm</v>
      </c>
      <c r="B244" s="322">
        <f ca="1">C273*B273</f>
        <v>768</v>
      </c>
      <c r="E244" s="15"/>
    </row>
    <row r="245" spans="1:13" x14ac:dyDescent="0.2">
      <c r="E245" s="15"/>
    </row>
    <row r="246" spans="1:13" x14ac:dyDescent="0.2">
      <c r="A246" s="68" t="s">
        <v>126</v>
      </c>
      <c r="B246" s="68"/>
      <c r="C246" s="68"/>
      <c r="D246" s="50"/>
      <c r="E246" s="50"/>
    </row>
    <row r="247" spans="1:13" x14ac:dyDescent="0.2">
      <c r="A247" s="66" t="s">
        <v>287</v>
      </c>
      <c r="B247" s="66">
        <v>50</v>
      </c>
      <c r="C247">
        <f>2*50*6-6*6</f>
        <v>564</v>
      </c>
      <c r="F247" s="15"/>
    </row>
    <row r="248" spans="1:13" x14ac:dyDescent="0.2">
      <c r="A248" s="66" t="s">
        <v>288</v>
      </c>
      <c r="B248" s="66">
        <v>76</v>
      </c>
      <c r="C248">
        <f>76*6+2*(38-6)*6</f>
        <v>840</v>
      </c>
      <c r="E248" s="314" t="s">
        <v>657</v>
      </c>
      <c r="F248" s="15"/>
    </row>
    <row r="249" spans="1:13" x14ac:dyDescent="0.2">
      <c r="A249" s="66" t="s">
        <v>289</v>
      </c>
      <c r="B249" s="66">
        <v>100</v>
      </c>
      <c r="C249">
        <f>100*6+2*(50-6)*6</f>
        <v>1128</v>
      </c>
      <c r="E249" s="314" t="s">
        <v>658</v>
      </c>
    </row>
    <row r="250" spans="1:13" x14ac:dyDescent="0.2">
      <c r="A250" s="66" t="s">
        <v>290</v>
      </c>
      <c r="B250" s="66">
        <v>152</v>
      </c>
      <c r="C250">
        <f>3*152*10-20*10</f>
        <v>4360</v>
      </c>
      <c r="E250" s="315">
        <v>2500</v>
      </c>
    </row>
    <row r="251" spans="1:13" x14ac:dyDescent="0.2">
      <c r="A251" s="66" t="s">
        <v>660</v>
      </c>
      <c r="B251" s="66">
        <v>200</v>
      </c>
      <c r="C251">
        <f>200*9+2*(75-9)*9</f>
        <v>2988</v>
      </c>
      <c r="E251" s="314" t="s">
        <v>659</v>
      </c>
      <c r="F251" s="15"/>
    </row>
    <row r="252" spans="1:13" x14ac:dyDescent="0.2">
      <c r="E252" s="15"/>
    </row>
    <row r="253" spans="1:13" x14ac:dyDescent="0.2">
      <c r="E253" s="15"/>
    </row>
    <row r="254" spans="1:13" x14ac:dyDescent="0.2">
      <c r="A254" s="28"/>
      <c r="B254" s="118" t="s">
        <v>139</v>
      </c>
      <c r="C254" s="118"/>
      <c r="D254" s="118"/>
      <c r="E254" s="396" t="s">
        <v>146</v>
      </c>
      <c r="F254" s="396"/>
      <c r="G254" s="396"/>
      <c r="H254" s="396" t="s">
        <v>145</v>
      </c>
      <c r="I254" s="396"/>
      <c r="J254" s="396"/>
      <c r="K254" s="28"/>
      <c r="L254" s="28"/>
      <c r="M254" s="28" t="str">
        <f>H264</f>
        <v>WEIGHT</v>
      </c>
    </row>
    <row r="255" spans="1:13" x14ac:dyDescent="0.2">
      <c r="A255" t="s">
        <v>281</v>
      </c>
      <c r="B255" s="177">
        <v>2440</v>
      </c>
      <c r="C255" s="176"/>
      <c r="D255" s="176"/>
      <c r="E255" s="176"/>
      <c r="F255" s="176"/>
      <c r="G255" s="176"/>
      <c r="H255" s="176"/>
      <c r="I255" s="176"/>
      <c r="J255" s="176"/>
    </row>
    <row r="256" spans="1:13" x14ac:dyDescent="0.2">
      <c r="A256" t="s">
        <v>282</v>
      </c>
      <c r="B256" s="177">
        <v>1220</v>
      </c>
      <c r="C256" s="176"/>
      <c r="D256" s="176"/>
      <c r="E256" s="176"/>
      <c r="F256" s="176"/>
      <c r="G256" s="176"/>
      <c r="H256" s="176"/>
      <c r="I256" s="176"/>
      <c r="J256" s="176"/>
    </row>
    <row r="257" spans="1:13" x14ac:dyDescent="0.2">
      <c r="A257" s="1"/>
      <c r="B257" t="s">
        <v>135</v>
      </c>
      <c r="C257" s="7" t="s">
        <v>112</v>
      </c>
      <c r="D257" t="s">
        <v>114</v>
      </c>
      <c r="E257" t="s">
        <v>141</v>
      </c>
      <c r="F257" t="s">
        <v>142</v>
      </c>
      <c r="G257" t="s">
        <v>140</v>
      </c>
      <c r="H257" t="s">
        <v>143</v>
      </c>
      <c r="I257" t="s">
        <v>144</v>
      </c>
      <c r="J257" t="s">
        <v>140</v>
      </c>
      <c r="K257" t="s">
        <v>148</v>
      </c>
      <c r="L257" t="s">
        <v>147</v>
      </c>
    </row>
    <row r="258" spans="1:13" x14ac:dyDescent="0.2">
      <c r="A258" t="s">
        <v>136</v>
      </c>
      <c r="B258">
        <f ca="1">IF('Bill of Materials'!M50=0,IF(B46&lt;400,4,IF(B46&lt;800,6,10)),'Bill of Materials'!M50)</f>
        <v>4</v>
      </c>
      <c r="C258" s="7">
        <f ca="1">D268+60</f>
        <v>541</v>
      </c>
      <c r="D258">
        <f ca="1">D267+60</f>
        <v>1195</v>
      </c>
      <c r="E258">
        <f ca="1">INT($B$255/D258)</f>
        <v>2</v>
      </c>
      <c r="F258">
        <f ca="1">INT($B$256/C258)</f>
        <v>2</v>
      </c>
      <c r="G258">
        <f ca="1">E258*F258</f>
        <v>4</v>
      </c>
      <c r="H258">
        <f ca="1">INT($B$255/C258)</f>
        <v>4</v>
      </c>
      <c r="I258">
        <f ca="1">INT($B$256/D258)</f>
        <v>1</v>
      </c>
      <c r="J258">
        <f ca="1">H258*I258</f>
        <v>4</v>
      </c>
      <c r="K258">
        <f ca="1">MAX(G258,J258)</f>
        <v>4</v>
      </c>
      <c r="L258">
        <f ca="1">IF(K258=0,0,ROUNDUP('Bill of Materials'!$C$7/K258,0))</f>
        <v>19</v>
      </c>
      <c r="M258">
        <f ca="1">B258*C258*D258*B$223</f>
        <v>20.299942999999999</v>
      </c>
    </row>
    <row r="259" spans="1:13" x14ac:dyDescent="0.2">
      <c r="A259" s="2" t="s">
        <v>137</v>
      </c>
      <c r="B259">
        <f ca="1">IF('Bill of Materials'!M51=0,IF(B37=B42,IF(B46&lt;400,3,IF(B46&lt;1000,4,6)),B262),'Bill of Materials'!M51)</f>
        <v>3</v>
      </c>
      <c r="C259" s="7">
        <f ca="1">D267</f>
        <v>1135</v>
      </c>
      <c r="D259">
        <f ca="1">IF(B37=B42,B95+2*(B96-B301-30),D268)</f>
        <v>825</v>
      </c>
      <c r="E259">
        <f ca="1">INT($B$255/D259)</f>
        <v>2</v>
      </c>
      <c r="F259">
        <f ca="1">INT($B$256/C259)</f>
        <v>1</v>
      </c>
      <c r="G259">
        <f ca="1">E259*F259</f>
        <v>2</v>
      </c>
      <c r="H259">
        <f ca="1">INT($B$255/C259)</f>
        <v>2</v>
      </c>
      <c r="I259">
        <f ca="1">INT($B$256/D259)</f>
        <v>1</v>
      </c>
      <c r="J259">
        <f ca="1">H259*I259</f>
        <v>2</v>
      </c>
      <c r="K259">
        <f ca="1">MAX(G259,J259)</f>
        <v>2</v>
      </c>
      <c r="L259">
        <f ca="1">IF(K259=0,0,ROUNDUP('Bill of Materials'!$C$7/K259,0))</f>
        <v>37</v>
      </c>
      <c r="M259">
        <f ca="1">B259*C259*D259*B$223</f>
        <v>22.05163125</v>
      </c>
    </row>
    <row r="260" spans="1:13" x14ac:dyDescent="0.2">
      <c r="A260" s="2" t="s">
        <v>188</v>
      </c>
      <c r="B260">
        <f ca="1">IF(B46&lt;1001,3,IF(B46&lt;4001,4,6))</f>
        <v>3</v>
      </c>
      <c r="C260" s="7">
        <f ca="1">IF(E38="Conservator",1200,0)</f>
        <v>0</v>
      </c>
      <c r="D260">
        <f ca="1">IF(E38="Conservator",1200,0)</f>
        <v>0</v>
      </c>
      <c r="E260" s="203" t="e">
        <f ca="1">INT($B$255/D260)</f>
        <v>#DIV/0!</v>
      </c>
      <c r="F260" s="203" t="e">
        <f ca="1">INT($B$256/C260)</f>
        <v>#DIV/0!</v>
      </c>
      <c r="G260" s="203" t="e">
        <f ca="1">E260*F260</f>
        <v>#DIV/0!</v>
      </c>
      <c r="H260" s="203" t="e">
        <f ca="1">INT($B$255/C260)</f>
        <v>#DIV/0!</v>
      </c>
      <c r="I260" s="203" t="e">
        <f ca="1">INT($B$256/D260)</f>
        <v>#DIV/0!</v>
      </c>
      <c r="J260" s="203" t="e">
        <f ca="1">H260*I260</f>
        <v>#DIV/0!</v>
      </c>
      <c r="K260">
        <f ca="1">IF(B41=B38,MAX(G260,J260),0)</f>
        <v>0</v>
      </c>
      <c r="L260">
        <f ca="1">IF(ISERROR(K260),0,IF(K260=0,0,ROUNDUP('Bill of Materials'!$C$7/K260,0)))</f>
        <v>0</v>
      </c>
      <c r="M260">
        <f ca="1">B260*C260*D260*B$223</f>
        <v>0</v>
      </c>
    </row>
    <row r="261" spans="1:13" x14ac:dyDescent="0.2">
      <c r="A261" s="2"/>
      <c r="C261" s="7"/>
      <c r="K261" t="s">
        <v>149</v>
      </c>
    </row>
    <row r="262" spans="1:13" x14ac:dyDescent="0.2">
      <c r="A262" t="s">
        <v>138</v>
      </c>
      <c r="B262">
        <f ca="1">IF('Bill of Materials'!M53=0,IF(B46&lt;5000,6,10),'Bill of Materials'!M53)</f>
        <v>6</v>
      </c>
      <c r="C262" s="7">
        <f ca="1">IF(B37=B42,0,B96)</f>
        <v>0</v>
      </c>
      <c r="D262" s="2">
        <f ca="1">IF(B37=B42,0,2.1*(B94+B95))</f>
        <v>0</v>
      </c>
      <c r="E262">
        <f ca="1">ROUNDUP(C262/$B$256,0)</f>
        <v>0</v>
      </c>
      <c r="F262">
        <f ca="1">ROUNDUP(D262/$B$256,0)</f>
        <v>0</v>
      </c>
      <c r="G262">
        <f ca="1">E262*F262/2</f>
        <v>0</v>
      </c>
      <c r="L262">
        <f ca="1">ROUNDUP('Bill of Materials'!$C$7*G262,0)</f>
        <v>0</v>
      </c>
      <c r="M262">
        <f ca="1">B262*C262*D262*B$223</f>
        <v>0</v>
      </c>
    </row>
    <row r="263" spans="1:13" x14ac:dyDescent="0.2">
      <c r="C263" s="7"/>
      <c r="M263" s="1"/>
    </row>
    <row r="264" spans="1:13" x14ac:dyDescent="0.2">
      <c r="A264" s="30"/>
      <c r="B264" s="30" t="s">
        <v>135</v>
      </c>
      <c r="C264" s="31" t="s">
        <v>112</v>
      </c>
      <c r="D264" s="30" t="s">
        <v>114</v>
      </c>
      <c r="E264" s="30" t="s">
        <v>41</v>
      </c>
      <c r="F264" s="30" t="s">
        <v>43</v>
      </c>
      <c r="G264" s="178" t="s">
        <v>286</v>
      </c>
      <c r="H264" s="178" t="s">
        <v>291</v>
      </c>
      <c r="I264" s="178"/>
      <c r="J264" s="178"/>
      <c r="K264" s="178"/>
      <c r="L264" s="178"/>
    </row>
    <row r="265" spans="1:13" x14ac:dyDescent="0.2">
      <c r="A265" s="323" t="s">
        <v>125</v>
      </c>
      <c r="B265" s="322">
        <f ca="1">IF(B46&lt;100,8,IF(B46&lt;315,10,IF(B46&lt;=1000,12,19)))</f>
        <v>10</v>
      </c>
      <c r="C265" s="324" t="s">
        <v>96</v>
      </c>
      <c r="D265" s="322">
        <f ca="1">B271+B269+B141+2*A186+4*B265</f>
        <v>548</v>
      </c>
      <c r="E265" s="322" t="str">
        <f ca="1">IF(B265=8,"8mm Threaded Rod",IF(B265=10,"10mm BS Rod",IF(B265=12,"12mm BS Rod",IF(B265=19,"3/4 inch BS Rod"))))</f>
        <v>10mm BS Rod</v>
      </c>
      <c r="F265" s="322">
        <f ca="1">IF(B46&lt;1001,0,IF(B46&lt;2501,4,8))</f>
        <v>0</v>
      </c>
      <c r="G265" s="322">
        <f ca="1">ROUNDUP(PI()*(B265/2)^2,0)</f>
        <v>79</v>
      </c>
      <c r="H265" s="322"/>
    </row>
    <row r="266" spans="1:13" x14ac:dyDescent="0.2">
      <c r="A266" s="322" t="s">
        <v>153</v>
      </c>
      <c r="B266" s="322">
        <f ca="1">IF(B46&lt;100,8,IF(B46&lt;315,10,IF(B46&lt;=1000,12,19)))</f>
        <v>10</v>
      </c>
      <c r="C266" s="324" t="s">
        <v>96</v>
      </c>
      <c r="D266" s="322">
        <f ca="1">B195+2*C275+4*B266</f>
        <v>274</v>
      </c>
      <c r="E266" s="322" t="str">
        <f ca="1">IF(B266=8,"8mm Threaded Rod",IF(B266=10,"10mm BS Rod",IF(B266=12,"12mm BS Rod",IF(B266=19,"3/4 inch BS Rod"))))</f>
        <v>10mm BS Rod</v>
      </c>
      <c r="F266" s="322">
        <f ca="1">IF(B46&lt;=1000,4,8)</f>
        <v>4</v>
      </c>
      <c r="G266" s="322">
        <f ca="1">ROUNDUP(PI()*(B266/2)^2,0)</f>
        <v>79</v>
      </c>
      <c r="H266" s="322"/>
    </row>
    <row r="267" spans="1:13" x14ac:dyDescent="0.2">
      <c r="A267" t="s">
        <v>128</v>
      </c>
      <c r="B267">
        <f ca="1">IF(B46&lt;1001,6,10)</f>
        <v>6</v>
      </c>
      <c r="C267" s="7">
        <f ca="1">IF(B46&lt;50,38,IF(B46&lt;401,50,80))</f>
        <v>50</v>
      </c>
      <c r="D267">
        <f ca="1">B94+2*C267</f>
        <v>1135</v>
      </c>
      <c r="E267" t="str">
        <f ca="1">C267&amp;"x"&amp;C267&amp;"x"&amp;B267&amp;" Angle Iron"</f>
        <v>50x50x6 Angle Iron</v>
      </c>
      <c r="F267">
        <v>2</v>
      </c>
      <c r="G267">
        <f ca="1">2*B267*C267-B267*B267</f>
        <v>564</v>
      </c>
      <c r="H267">
        <f t="shared" ref="H267:H273" ca="1" si="4">G267*D267*F267*B$223</f>
        <v>10.050198</v>
      </c>
    </row>
    <row r="268" spans="1:13" x14ac:dyDescent="0.2">
      <c r="A268" t="s">
        <v>129</v>
      </c>
      <c r="B268">
        <f ca="1">IF(B46&lt;1001,6,10)</f>
        <v>6</v>
      </c>
      <c r="C268" s="7">
        <f ca="1">IF(B46&lt;50,38,IF(B46&lt;401,50,80))</f>
        <v>50</v>
      </c>
      <c r="D268">
        <f ca="1">B95</f>
        <v>481</v>
      </c>
      <c r="E268" t="str">
        <f ca="1">C268&amp;"x"&amp;C268&amp;"x"&amp;B268&amp;" Angle Iron"</f>
        <v>50x50x6 Angle Iron</v>
      </c>
      <c r="F268">
        <v>2</v>
      </c>
      <c r="G268">
        <f ca="1">2*B268*C268-B268*B268</f>
        <v>564</v>
      </c>
      <c r="H268">
        <f t="shared" ca="1" si="4"/>
        <v>4.2591587999999998</v>
      </c>
      <c r="L268" s="2" t="s">
        <v>656</v>
      </c>
    </row>
    <row r="269" spans="1:13" x14ac:dyDescent="0.2">
      <c r="A269" t="s">
        <v>155</v>
      </c>
      <c r="B269">
        <f ca="1">IF(B46&lt;200,6,IF(B46&lt;1001,10,20))</f>
        <v>6</v>
      </c>
      <c r="C269" s="7">
        <f ca="1">IF(B46&lt;1001,75,150)</f>
        <v>75</v>
      </c>
      <c r="D269" s="2">
        <f ca="1">B195</f>
        <v>184</v>
      </c>
      <c r="E269" t="str">
        <f ca="1">C269&amp;"x"&amp;B269&amp;" Flat Iron"</f>
        <v>75x6 Flat Iron</v>
      </c>
      <c r="F269">
        <f ca="1">IF(B46&lt;1001,0,2)</f>
        <v>0</v>
      </c>
      <c r="G269">
        <f ca="1">B269*C269</f>
        <v>450</v>
      </c>
      <c r="H269">
        <f t="shared" ca="1" si="4"/>
        <v>0</v>
      </c>
    </row>
    <row r="270" spans="1:13" x14ac:dyDescent="0.2">
      <c r="A270" t="s">
        <v>156</v>
      </c>
      <c r="B270">
        <f ca="1">IF(B46&lt;200,6,IF(B46&lt;1001,10,20))</f>
        <v>6</v>
      </c>
      <c r="C270" s="7">
        <f ca="1">IF(B46&lt;1001,75,150)</f>
        <v>75</v>
      </c>
      <c r="D270">
        <f ca="1">B144+50</f>
        <v>290</v>
      </c>
      <c r="E270" t="str">
        <f ca="1">C270&amp;"x"&amp;B270&amp;" Flat Iron"</f>
        <v>75x6 Flat Iron</v>
      </c>
      <c r="F270">
        <f ca="1">IF(B46&lt;1001,0,2)</f>
        <v>0</v>
      </c>
      <c r="G270">
        <f ca="1">B270*C270</f>
        <v>450</v>
      </c>
      <c r="H270">
        <f t="shared" ca="1" si="4"/>
        <v>0</v>
      </c>
    </row>
    <row r="271" spans="1:13" x14ac:dyDescent="0.2">
      <c r="A271" t="s">
        <v>154</v>
      </c>
      <c r="B271">
        <f ca="1">IF(B46&lt;801,10,20)</f>
        <v>10</v>
      </c>
      <c r="C271" s="7">
        <f ca="1">IF(B46&lt;1001,75,150)</f>
        <v>75</v>
      </c>
      <c r="D271">
        <f ca="1">D266+100</f>
        <v>374</v>
      </c>
      <c r="E271" t="str">
        <f ca="1">C271&amp;"x"&amp;B271&amp;" Flat Iron"</f>
        <v>75x10 Flat Iron</v>
      </c>
      <c r="F271">
        <v>2</v>
      </c>
      <c r="G271">
        <f ca="1">B271*C271</f>
        <v>750</v>
      </c>
      <c r="H271">
        <f t="shared" ca="1" si="4"/>
        <v>4.4038499999999994</v>
      </c>
    </row>
    <row r="272" spans="1:13" x14ac:dyDescent="0.2">
      <c r="A272" t="s">
        <v>126</v>
      </c>
      <c r="B272" s="7" t="s">
        <v>96</v>
      </c>
      <c r="C272" s="7">
        <f ca="1">IF($B46&lt;100,B247,IF($B46&lt;401,B248,IF($B46&lt;1001,B249,IF($B46&lt;2501,B250,B251))))</f>
        <v>76</v>
      </c>
      <c r="D272">
        <f ca="1">IF(B46&lt;100,500,IF(B46&lt;251,600,IF(B46&lt;1001,800,1200)))</f>
        <v>600</v>
      </c>
      <c r="E272" t="str">
        <f ca="1">IF($B46&lt;100,A247,IF($B46&lt;401,A248,IF($B46&lt;1001,A249,IF($B46&lt;2501,A250,A251))))</f>
        <v>76x38x6 MS Channel</v>
      </c>
      <c r="F272">
        <v>2</v>
      </c>
      <c r="G272">
        <f ca="1">IF($B46&lt;100,C247,IF($B46&lt;401,C248,IF($B46&lt;1001,C249,IF($B46&lt;2501,C250,C251))))</f>
        <v>840</v>
      </c>
      <c r="H272">
        <f ca="1">G272*D272*F272*B$223</f>
        <v>7.9127999999999989</v>
      </c>
    </row>
    <row r="273" spans="1:12" x14ac:dyDescent="0.2">
      <c r="A273" t="s">
        <v>195</v>
      </c>
      <c r="B273" s="7">
        <f ca="1">IF(B46&lt;1001,4,6)</f>
        <v>4</v>
      </c>
      <c r="C273" s="7">
        <f ca="1">IF(B46&lt;1001,A186-30+B195/2,A186-30+60*2)</f>
        <v>192</v>
      </c>
      <c r="D273">
        <f ca="1">B94-10</f>
        <v>1025</v>
      </c>
      <c r="E273" t="str">
        <f ca="1">B273&amp;" mm MS Plate"</f>
        <v>4 mm MS Plate</v>
      </c>
      <c r="F273">
        <f ca="1">IF(E273=0,0,4)</f>
        <v>4</v>
      </c>
      <c r="G273">
        <f ca="1">B273*C273</f>
        <v>768</v>
      </c>
      <c r="H273">
        <f t="shared" ca="1" si="4"/>
        <v>24.718079999999997</v>
      </c>
    </row>
    <row r="274" spans="1:12" x14ac:dyDescent="0.2">
      <c r="A274" s="322" t="s">
        <v>151</v>
      </c>
      <c r="B274" s="322">
        <f ca="1">A186-A187</f>
        <v>10</v>
      </c>
      <c r="C274" s="322">
        <f ca="1">INT(B187/2+C275)</f>
        <v>50</v>
      </c>
      <c r="D274" s="322">
        <f ca="1">ROUNDUP(B142*2+A187+40,-1)</f>
        <v>750</v>
      </c>
      <c r="E274" s="322">
        <f ca="1">IF(B143="T OV",Q!D274&amp;" x"&amp;Q!B274&amp;" x"&amp;Q!C274&amp;" mm",0)</f>
        <v>0</v>
      </c>
      <c r="F274" s="322">
        <f ca="1">IF(B$143="T OV",4,0)</f>
        <v>0</v>
      </c>
      <c r="G274" s="322">
        <f ca="1">B274*C274</f>
        <v>500</v>
      </c>
      <c r="H274" s="322"/>
    </row>
    <row r="275" spans="1:12" x14ac:dyDescent="0.2">
      <c r="A275" s="322" t="s">
        <v>150</v>
      </c>
      <c r="B275" s="322">
        <f ca="1">IF(B46&lt;200,A187-10,A187-20)</f>
        <v>110</v>
      </c>
      <c r="C275" s="322">
        <f ca="1">IF(B46&lt;1000,25,IF(B46&lt;2000,40,50))</f>
        <v>25</v>
      </c>
      <c r="D275" s="322">
        <f ca="1">B94-20</f>
        <v>1015</v>
      </c>
      <c r="E275" s="322">
        <f ca="1">IF(B143="T OV",Q!D275&amp;" x"&amp;Q!C275&amp;" x"&amp;Q!B275&amp;" mm",0)</f>
        <v>0</v>
      </c>
      <c r="F275" s="322">
        <f ca="1">IF(B$143="T OV",4,0)</f>
        <v>0</v>
      </c>
      <c r="G275" s="322">
        <f ca="1">B275*C275</f>
        <v>2750</v>
      </c>
      <c r="H275" s="322"/>
    </row>
    <row r="276" spans="1:12" x14ac:dyDescent="0.2">
      <c r="H276" s="1"/>
    </row>
    <row r="277" spans="1:12" ht="15.75" x14ac:dyDescent="0.25">
      <c r="A277" s="57" t="s">
        <v>183</v>
      </c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</row>
    <row r="278" spans="1:12" x14ac:dyDescent="0.2">
      <c r="A278" s="54" t="s">
        <v>285</v>
      </c>
      <c r="B278" s="54" t="str">
        <f ca="1">IF(C278=0,"NO",IF(B37=B43,"YES","NO"))</f>
        <v>NO</v>
      </c>
      <c r="C278">
        <f ca="1">VALUE(LEFT(P!H95,FIND("/",P!H95,1)-1))</f>
        <v>12</v>
      </c>
    </row>
    <row r="279" spans="1:12" x14ac:dyDescent="0.2">
      <c r="A279" s="2" t="str">
        <f ca="1">TRIM(P!H94)</f>
        <v>600/ 600/ 600/ 600</v>
      </c>
      <c r="B279">
        <f ca="1">IF(ISERROR(FIND(" ",A279,1)),0,FIND(" ",A279,1))</f>
        <v>5</v>
      </c>
      <c r="C279">
        <f ca="1">IF(ISERROR(FIND(" ",A279,B279+1)),0,FIND(" ",A279,B279+1))</f>
        <v>10</v>
      </c>
      <c r="D279" s="203">
        <f ca="1">IF(ISERROR(FIND(".",A279,C279+1)),0,FIND(".",A279,C279+1))</f>
        <v>0</v>
      </c>
    </row>
    <row r="280" spans="1:12" x14ac:dyDescent="0.2">
      <c r="A280" s="2" t="s">
        <v>69</v>
      </c>
      <c r="B280">
        <f ca="1">IF(B278="NO",0,VALUE(LEFT(A279,B279)))</f>
        <v>0</v>
      </c>
    </row>
    <row r="281" spans="1:12" x14ac:dyDescent="0.2">
      <c r="A281" s="2" t="s">
        <v>70</v>
      </c>
      <c r="B281" t="str">
        <f ca="1">IF(ISERROR(TRIM(MID(A279,B279,C279-B279))),0,TRIM(MID(A279,B279,C279-B279)))</f>
        <v>600/</v>
      </c>
    </row>
    <row r="282" spans="1:12" x14ac:dyDescent="0.2">
      <c r="A282" s="2" t="s">
        <v>71</v>
      </c>
      <c r="B282" s="203">
        <f ca="1">IF(ISERROR(TRIM(MID(A279,C279,D279-C279))),0,TRIM(MID(A279,C279,D279-C279)))</f>
        <v>0</v>
      </c>
    </row>
    <row r="283" spans="1:12" x14ac:dyDescent="0.2">
      <c r="A283" s="2" t="s">
        <v>108</v>
      </c>
      <c r="B283" s="204" t="e">
        <f ca="1">110+(B281-1)*40+20</f>
        <v>#VALUE!</v>
      </c>
    </row>
    <row r="284" spans="1:12" x14ac:dyDescent="0.2">
      <c r="A284" s="42" t="s">
        <v>191</v>
      </c>
      <c r="B284" s="43">
        <v>150</v>
      </c>
    </row>
    <row r="285" spans="1:12" x14ac:dyDescent="0.2">
      <c r="A285" s="42" t="s">
        <v>192</v>
      </c>
      <c r="B285" s="43">
        <v>520</v>
      </c>
    </row>
    <row r="286" spans="1:12" x14ac:dyDescent="0.2">
      <c r="A286" s="42" t="s">
        <v>193</v>
      </c>
      <c r="B286" s="43">
        <v>80</v>
      </c>
    </row>
    <row r="287" spans="1:12" x14ac:dyDescent="0.2">
      <c r="A287" s="42" t="s">
        <v>194</v>
      </c>
      <c r="B287" s="43">
        <v>131</v>
      </c>
    </row>
    <row r="288" spans="1:12" x14ac:dyDescent="0.2">
      <c r="A288" s="42"/>
      <c r="B288" s="43"/>
    </row>
    <row r="289" spans="1:9" s="36" customFormat="1" ht="13.15" customHeight="1" x14ac:dyDescent="0.2">
      <c r="A289" s="363" t="s">
        <v>771</v>
      </c>
      <c r="B289" s="363" t="s">
        <v>59</v>
      </c>
      <c r="C289" s="363" t="s">
        <v>100</v>
      </c>
      <c r="D289" s="363" t="s">
        <v>765</v>
      </c>
      <c r="E289" s="363" t="s">
        <v>766</v>
      </c>
      <c r="F289" s="363" t="s">
        <v>769</v>
      </c>
      <c r="G289" s="364" t="s">
        <v>770</v>
      </c>
      <c r="H289" s="362"/>
      <c r="I289" s="362"/>
    </row>
    <row r="290" spans="1:9" x14ac:dyDescent="0.2">
      <c r="A290" s="290">
        <v>1</v>
      </c>
      <c r="B290" s="290">
        <v>1</v>
      </c>
      <c r="C290" s="290">
        <f t="shared" ref="C290:C297" ca="1" si="5">IF(($B$94-$B$110)/2&gt;$B$284/2,IF(MIN(A290-B290,2)&lt;0,0,MIN(A290-B290,2)),0)</f>
        <v>0</v>
      </c>
      <c r="D290" s="290">
        <f ca="1">IF(MIN(A290-B290-C290,2)&lt;0,0,MIN(A290-B290-C290,2))</f>
        <v>0</v>
      </c>
      <c r="E290" s="290">
        <f ca="1">IF(MIN(A290-B290-C290-D290,2)&lt;0,0,MIN(A290-B290-C290-D290,2))</f>
        <v>0</v>
      </c>
      <c r="F290" s="290">
        <f ca="1">IF(D290&gt;0,$B$283,0)+IF(E290&gt;0,$B$283,0)</f>
        <v>0</v>
      </c>
      <c r="G290" s="290" t="e">
        <f ca="1">IF(B290&gt;0,$B$283,0)+IF(C290&gt;0,$B$283,0)</f>
        <v>#VALUE!</v>
      </c>
    </row>
    <row r="291" spans="1:9" x14ac:dyDescent="0.2">
      <c r="A291" s="290">
        <v>1</v>
      </c>
      <c r="B291" s="290">
        <f t="shared" ref="B291:B297" ca="1" si="6">IF(($B$94-$B$108)/2&gt;$B$284/2,2,0)</f>
        <v>2</v>
      </c>
      <c r="C291" s="290">
        <f t="shared" ca="1" si="5"/>
        <v>0</v>
      </c>
      <c r="D291" s="290">
        <f ca="1">IF(MIN(A291-B291-C291,2)&lt;0,0,MIN(A291-B291-C291,2))</f>
        <v>0</v>
      </c>
      <c r="E291" s="290">
        <f ca="1">IF(MIN(A291-B291-C291-D291,2)&lt;0,0,MIN(A291-B291-C291-D291,2))</f>
        <v>0</v>
      </c>
      <c r="F291" s="290">
        <f t="shared" ref="F291:F297" ca="1" si="7">IF(D291&gt;0,$B$283,0)+IF(E291&gt;0,$B$283,0)</f>
        <v>0</v>
      </c>
      <c r="G291" s="290" t="e">
        <f t="shared" ref="G291:G297" ca="1" si="8">IF(B291&gt;0,$B$283,0)+IF(C291&gt;0,$B$283,0)</f>
        <v>#VALUE!</v>
      </c>
    </row>
    <row r="292" spans="1:9" x14ac:dyDescent="0.2">
      <c r="A292" s="290">
        <v>3</v>
      </c>
      <c r="B292" s="290">
        <f t="shared" ca="1" si="6"/>
        <v>2</v>
      </c>
      <c r="C292" s="290">
        <f t="shared" ca="1" si="5"/>
        <v>1</v>
      </c>
      <c r="D292" s="290">
        <f t="shared" ref="D292:D297" ca="1" si="9">IF(MIN(A292-B292-C292,2)&lt;0,0,MIN(A292-B292-C292,2))</f>
        <v>0</v>
      </c>
      <c r="E292" s="290">
        <f t="shared" ref="E292:E297" ca="1" si="10">IF(MIN(A292-B292-C292-D292,2)&lt;0,0,MIN(A292-B292-C292-D292,2))</f>
        <v>0</v>
      </c>
      <c r="F292" s="290">
        <f t="shared" ca="1" si="7"/>
        <v>0</v>
      </c>
      <c r="G292" s="290" t="e">
        <f t="shared" ca="1" si="8"/>
        <v>#VALUE!</v>
      </c>
    </row>
    <row r="293" spans="1:9" x14ac:dyDescent="0.2">
      <c r="A293" s="290">
        <v>4</v>
      </c>
      <c r="B293" s="290">
        <f t="shared" ca="1" si="6"/>
        <v>2</v>
      </c>
      <c r="C293" s="290">
        <f t="shared" ca="1" si="5"/>
        <v>2</v>
      </c>
      <c r="D293" s="290">
        <f t="shared" ca="1" si="9"/>
        <v>0</v>
      </c>
      <c r="E293" s="290">
        <f t="shared" ca="1" si="10"/>
        <v>0</v>
      </c>
      <c r="F293" s="290">
        <f t="shared" ca="1" si="7"/>
        <v>0</v>
      </c>
      <c r="G293" s="290" t="e">
        <f t="shared" ca="1" si="8"/>
        <v>#VALUE!</v>
      </c>
    </row>
    <row r="294" spans="1:9" x14ac:dyDescent="0.2">
      <c r="A294" s="290">
        <v>5</v>
      </c>
      <c r="B294" s="290">
        <f t="shared" ca="1" si="6"/>
        <v>2</v>
      </c>
      <c r="C294" s="290">
        <f t="shared" ca="1" si="5"/>
        <v>2</v>
      </c>
      <c r="D294" s="290">
        <f t="shared" ca="1" si="9"/>
        <v>1</v>
      </c>
      <c r="E294" s="290">
        <f t="shared" ca="1" si="10"/>
        <v>0</v>
      </c>
      <c r="F294" s="290" t="e">
        <f t="shared" ca="1" si="7"/>
        <v>#VALUE!</v>
      </c>
      <c r="G294" s="290" t="e">
        <f t="shared" ca="1" si="8"/>
        <v>#VALUE!</v>
      </c>
    </row>
    <row r="295" spans="1:9" x14ac:dyDescent="0.2">
      <c r="A295" s="290">
        <v>6</v>
      </c>
      <c r="B295" s="290">
        <f t="shared" ca="1" si="6"/>
        <v>2</v>
      </c>
      <c r="C295" s="290">
        <f t="shared" ca="1" si="5"/>
        <v>2</v>
      </c>
      <c r="D295" s="290">
        <f t="shared" ca="1" si="9"/>
        <v>2</v>
      </c>
      <c r="E295" s="290">
        <f t="shared" ca="1" si="10"/>
        <v>0</v>
      </c>
      <c r="F295" s="290" t="e">
        <f t="shared" ca="1" si="7"/>
        <v>#VALUE!</v>
      </c>
      <c r="G295" s="290" t="e">
        <f t="shared" ca="1" si="8"/>
        <v>#VALUE!</v>
      </c>
    </row>
    <row r="296" spans="1:9" x14ac:dyDescent="0.2">
      <c r="A296" s="290">
        <v>7</v>
      </c>
      <c r="B296" s="290">
        <f t="shared" ca="1" si="6"/>
        <v>2</v>
      </c>
      <c r="C296" s="290">
        <f t="shared" ca="1" si="5"/>
        <v>2</v>
      </c>
      <c r="D296" s="290">
        <f t="shared" ca="1" si="9"/>
        <v>2</v>
      </c>
      <c r="E296" s="290">
        <f t="shared" ca="1" si="10"/>
        <v>1</v>
      </c>
      <c r="F296" s="290" t="e">
        <f t="shared" ca="1" si="7"/>
        <v>#VALUE!</v>
      </c>
      <c r="G296" s="290" t="e">
        <f t="shared" ca="1" si="8"/>
        <v>#VALUE!</v>
      </c>
    </row>
    <row r="297" spans="1:9" x14ac:dyDescent="0.2">
      <c r="A297" s="290">
        <v>8</v>
      </c>
      <c r="B297" s="290">
        <f t="shared" ca="1" si="6"/>
        <v>2</v>
      </c>
      <c r="C297" s="290">
        <f t="shared" ca="1" si="5"/>
        <v>2</v>
      </c>
      <c r="D297" s="290">
        <f t="shared" ca="1" si="9"/>
        <v>2</v>
      </c>
      <c r="E297" s="290">
        <f t="shared" ca="1" si="10"/>
        <v>2</v>
      </c>
      <c r="F297" s="290" t="e">
        <f t="shared" ca="1" si="7"/>
        <v>#VALUE!</v>
      </c>
      <c r="G297" s="290" t="e">
        <f t="shared" ca="1" si="8"/>
        <v>#VALUE!</v>
      </c>
    </row>
    <row r="298" spans="1:9" x14ac:dyDescent="0.2">
      <c r="B298" s="7"/>
      <c r="C298" s="7"/>
      <c r="D298" s="7"/>
      <c r="E298" s="7"/>
    </row>
    <row r="299" spans="1:9" x14ac:dyDescent="0.2">
      <c r="A299" s="2" t="s">
        <v>109</v>
      </c>
      <c r="B299" s="4" t="str">
        <f ca="1">IF(ISERROR(LEFT(P!E96,Q!D299-1)),0,LEFT(P!E96,Q!D299-1))</f>
        <v>210</v>
      </c>
      <c r="C299">
        <f ca="1">FIND("/",P!E96,D299+1)</f>
        <v>9</v>
      </c>
      <c r="D299">
        <f ca="1">FIND("/",P!E96,1)</f>
        <v>4</v>
      </c>
    </row>
    <row r="300" spans="1:9" x14ac:dyDescent="0.2">
      <c r="A300" s="2" t="s">
        <v>110</v>
      </c>
      <c r="B300" s="4" t="str">
        <f ca="1">IF(ISERROR(MID(P!E96,Q!D299+1,Q!C299-Q!D299-1)),0,MID(P!E96,Q!D299+1,Q!C299-Q!D299-1))</f>
        <v xml:space="preserve">  50</v>
      </c>
    </row>
    <row r="301" spans="1:9" x14ac:dyDescent="0.2">
      <c r="A301" s="2" t="s">
        <v>132</v>
      </c>
      <c r="B301" s="4" t="str">
        <f ca="1">IF(ISERROR(LEFT(P!H94,Q!C301-1)),0,LEFT(P!H94,Q!C301-1))</f>
        <v>600</v>
      </c>
      <c r="C301">
        <f ca="1">FIND("/",P!H94,1)</f>
        <v>4</v>
      </c>
    </row>
    <row r="302" spans="1:9" x14ac:dyDescent="0.2">
      <c r="A302" s="2" t="s">
        <v>284</v>
      </c>
      <c r="B302" s="4" t="str">
        <f ca="1">IF(ISERROR(C302/D302),0,LEFT(P!H94,Q!C301-1))</f>
        <v>600</v>
      </c>
      <c r="C302">
        <f ca="1">IF(D302&gt;=1.5,1.5,1.2)</f>
        <v>1.2</v>
      </c>
      <c r="D302" s="4">
        <f ca="1">VALUE(LEFT(P!E97,Q!F302-1))</f>
        <v>1.2</v>
      </c>
      <c r="E302">
        <f ca="1">FIND("/",P!E97,F302+1)</f>
        <v>10</v>
      </c>
      <c r="F302">
        <f ca="1">FIND("/",P!E97,1)</f>
        <v>5</v>
      </c>
    </row>
    <row r="303" spans="1:9" s="2" customFormat="1" x14ac:dyDescent="0.2"/>
    <row r="304" spans="1:9" ht="14.25" customHeight="1" x14ac:dyDescent="0.2">
      <c r="A304" s="38"/>
      <c r="B304" s="21"/>
      <c r="C304" s="28"/>
      <c r="D304" s="37"/>
      <c r="E304" s="28"/>
    </row>
    <row r="305" spans="1:8" s="184" customFormat="1" x14ac:dyDescent="0.2">
      <c r="A305" s="184" t="s">
        <v>307</v>
      </c>
      <c r="B305" s="186"/>
      <c r="C305" s="186"/>
      <c r="D305" s="187">
        <f>D$14</f>
        <v>0</v>
      </c>
      <c r="E305" s="186" t="e">
        <f>INDEX(#REF!, MATCH(A305,#REF!,0), MATCH(D305,#REF!,0))</f>
        <v>#REF!</v>
      </c>
    </row>
    <row r="306" spans="1:8" s="184" customFormat="1" x14ac:dyDescent="0.2">
      <c r="B306" s="186">
        <v>10</v>
      </c>
      <c r="C306" s="186"/>
      <c r="D306" s="186"/>
      <c r="E306" s="186">
        <f ca="1">IF(B37=B43,E305*B306/100,0)</f>
        <v>0</v>
      </c>
    </row>
    <row r="307" spans="1:8" s="184" customFormat="1" x14ac:dyDescent="0.2">
      <c r="B307" s="186">
        <v>10</v>
      </c>
      <c r="C307" s="186"/>
      <c r="D307" s="186"/>
      <c r="E307" s="186">
        <f>IF(B39=B44,E305*B306/100,0)</f>
        <v>0</v>
      </c>
    </row>
    <row r="308" spans="1:8" s="184" customFormat="1" x14ac:dyDescent="0.2">
      <c r="B308" s="185"/>
      <c r="D308" s="185"/>
      <c r="E308" s="185" t="e">
        <f>SUM(E305:E307)</f>
        <v>#REF!</v>
      </c>
    </row>
    <row r="309" spans="1:8" x14ac:dyDescent="0.2">
      <c r="A309" s="61"/>
      <c r="B309" s="62"/>
      <c r="C309" s="63"/>
      <c r="D309" s="59"/>
      <c r="E309" s="63"/>
      <c r="F309" s="59"/>
      <c r="G309" s="63"/>
    </row>
    <row r="310" spans="1:8" ht="15.75" x14ac:dyDescent="0.25">
      <c r="A310" s="57" t="s">
        <v>131</v>
      </c>
      <c r="B310" s="56"/>
      <c r="C310" s="56"/>
      <c r="D310" s="56"/>
      <c r="E310" s="56"/>
      <c r="F310" s="56"/>
      <c r="G310" s="56"/>
    </row>
    <row r="311" spans="1:8" x14ac:dyDescent="0.2">
      <c r="A311" s="49" t="s">
        <v>253</v>
      </c>
      <c r="B311" s="49" t="str">
        <f ca="1">VLOOKUP(1,A315:G328,6,FALSE)</f>
        <v>Plug-in Type 36 kV 250 A Interface B</v>
      </c>
      <c r="C311" s="49"/>
      <c r="D311" s="49"/>
      <c r="E311" s="49">
        <f ca="1">VLOOKUP(1,A315:G328,5,FALSE)</f>
        <v>150</v>
      </c>
      <c r="F311" s="49">
        <f ca="1">IF(B77="D",3,IF(OR(B77="YN",B77="ZN"),4,2))</f>
        <v>3</v>
      </c>
      <c r="G311" s="49">
        <f ca="1">VLOOKUP(1,A315:G328,7,FALSE)</f>
        <v>5</v>
      </c>
      <c r="H311">
        <v>3</v>
      </c>
    </row>
    <row r="312" spans="1:8" x14ac:dyDescent="0.2">
      <c r="A312" s="50">
        <f ca="1">VALUE(MID(P!E19,FIND(":",P!E19)+1,IF(ISERROR(FIND("(",P!E19)),FIND("S",P!E19),FIND("(",P!E19))-FIND(":",P!E19)-1))</f>
        <v>170</v>
      </c>
      <c r="B312" s="50">
        <f ca="1">IF(B47/1000&lt;13,12,IF(B47/1000&lt;24,24,IF(B47/1000&lt;37,36,IF(B47/1000&lt;43,42,IF(B47/1000&lt;53,52)))))</f>
        <v>36</v>
      </c>
      <c r="C312" s="50" cm="1">
        <f t="array" aca="1" ref="C312" ca="1">MIN(IF(C315:C328&gt;=A312,C315:C328))</f>
        <v>170</v>
      </c>
      <c r="D312" s="50" cm="1">
        <f t="array" aca="1" ref="D312" ca="1">MIN(IF(D315:D328&gt;B54,D315:D328))</f>
        <v>250</v>
      </c>
      <c r="E312" s="50"/>
      <c r="F312" s="17"/>
      <c r="G312" s="17"/>
      <c r="H312">
        <v>4</v>
      </c>
    </row>
    <row r="313" spans="1:8" x14ac:dyDescent="0.2">
      <c r="A313" s="200" t="s">
        <v>672</v>
      </c>
      <c r="B313" s="289" t="s">
        <v>708</v>
      </c>
      <c r="C313" s="289" t="s">
        <v>710</v>
      </c>
      <c r="D313" s="289" t="s">
        <v>709</v>
      </c>
      <c r="E313" s="289" t="s">
        <v>711</v>
      </c>
      <c r="F313" s="289" t="s">
        <v>41</v>
      </c>
      <c r="G313" s="289" t="s">
        <v>712</v>
      </c>
    </row>
    <row r="314" spans="1:8" x14ac:dyDescent="0.2">
      <c r="A314" s="200"/>
      <c r="B314" s="289"/>
      <c r="C314" s="289"/>
      <c r="D314" s="289"/>
      <c r="E314" s="289"/>
      <c r="F314" s="289"/>
      <c r="G314" s="289"/>
    </row>
    <row r="315" spans="1:8" x14ac:dyDescent="0.2">
      <c r="A315" s="290">
        <f ca="1">IF(AND($B$312=B315,$C$312=C315,$D$312=D315),1,0)</f>
        <v>0</v>
      </c>
      <c r="B315" s="290">
        <v>12</v>
      </c>
      <c r="C315" s="289">
        <v>75</v>
      </c>
      <c r="D315" s="290">
        <v>250</v>
      </c>
      <c r="E315" s="200">
        <v>310</v>
      </c>
      <c r="F315" s="319" t="s">
        <v>696</v>
      </c>
      <c r="G315" s="290">
        <v>5.65</v>
      </c>
    </row>
    <row r="316" spans="1:8" x14ac:dyDescent="0.2">
      <c r="A316" s="290">
        <f ca="1">IF(AND($B$312=B316,$C$312=C316,$D$312=D316),1,0)</f>
        <v>0</v>
      </c>
      <c r="B316" s="290">
        <v>12</v>
      </c>
      <c r="C316" s="289">
        <v>75</v>
      </c>
      <c r="D316" s="290">
        <v>630</v>
      </c>
      <c r="E316" s="200">
        <v>342</v>
      </c>
      <c r="F316" s="319" t="s">
        <v>568</v>
      </c>
      <c r="G316" s="290">
        <v>8</v>
      </c>
    </row>
    <row r="317" spans="1:8" x14ac:dyDescent="0.2">
      <c r="A317" s="290">
        <f t="shared" ref="A317:A328" ca="1" si="11">IF(AND($B$312=B317,$C$312=C317,$D$312=D317),1,0)</f>
        <v>0</v>
      </c>
      <c r="B317" s="290">
        <v>12</v>
      </c>
      <c r="C317" s="289">
        <v>75</v>
      </c>
      <c r="D317" s="290">
        <v>250</v>
      </c>
      <c r="E317" s="200">
        <v>150</v>
      </c>
      <c r="F317" s="319" t="s">
        <v>119</v>
      </c>
      <c r="G317" s="290">
        <v>5</v>
      </c>
    </row>
    <row r="318" spans="1:8" x14ac:dyDescent="0.2">
      <c r="A318" s="290">
        <f t="shared" ca="1" si="11"/>
        <v>0</v>
      </c>
      <c r="B318" s="290">
        <v>24</v>
      </c>
      <c r="C318" s="289">
        <v>125</v>
      </c>
      <c r="D318" s="290">
        <v>250</v>
      </c>
      <c r="E318" s="200">
        <v>310</v>
      </c>
      <c r="F318" s="319" t="s">
        <v>697</v>
      </c>
      <c r="G318" s="290">
        <v>5.65</v>
      </c>
    </row>
    <row r="319" spans="1:8" x14ac:dyDescent="0.2">
      <c r="A319" s="290">
        <f t="shared" ca="1" si="11"/>
        <v>0</v>
      </c>
      <c r="B319" s="290">
        <v>24</v>
      </c>
      <c r="C319" s="289">
        <v>125</v>
      </c>
      <c r="D319" s="290">
        <v>250</v>
      </c>
      <c r="E319" s="200">
        <v>150</v>
      </c>
      <c r="F319" s="319" t="s">
        <v>651</v>
      </c>
      <c r="G319" s="290">
        <v>5</v>
      </c>
    </row>
    <row r="320" spans="1:8" x14ac:dyDescent="0.2">
      <c r="A320" s="290">
        <f t="shared" ca="1" si="11"/>
        <v>0</v>
      </c>
      <c r="B320" s="290">
        <v>24</v>
      </c>
      <c r="C320" s="289">
        <v>125</v>
      </c>
      <c r="D320" s="290">
        <v>630</v>
      </c>
      <c r="E320" s="200">
        <v>150</v>
      </c>
      <c r="F320" s="319" t="s">
        <v>652</v>
      </c>
      <c r="G320" s="290">
        <v>6.5</v>
      </c>
    </row>
    <row r="321" spans="1:10" x14ac:dyDescent="0.2">
      <c r="A321" s="290">
        <f t="shared" ca="1" si="11"/>
        <v>0</v>
      </c>
      <c r="B321" s="290">
        <v>36</v>
      </c>
      <c r="C321" s="289">
        <v>200</v>
      </c>
      <c r="D321" s="290">
        <v>250</v>
      </c>
      <c r="E321" s="200">
        <v>520</v>
      </c>
      <c r="F321" s="319" t="s">
        <v>692</v>
      </c>
      <c r="G321" s="290">
        <v>9.35</v>
      </c>
    </row>
    <row r="322" spans="1:10" x14ac:dyDescent="0.2">
      <c r="A322" s="290">
        <f t="shared" ca="1" si="11"/>
        <v>0</v>
      </c>
      <c r="B322" s="290">
        <v>36</v>
      </c>
      <c r="C322" s="289">
        <v>200</v>
      </c>
      <c r="D322" s="290">
        <v>250</v>
      </c>
      <c r="E322" s="200">
        <v>520</v>
      </c>
      <c r="F322" s="319" t="s">
        <v>693</v>
      </c>
      <c r="G322" s="290">
        <v>12.55</v>
      </c>
    </row>
    <row r="323" spans="1:10" x14ac:dyDescent="0.2">
      <c r="A323" s="290">
        <f t="shared" ca="1" si="11"/>
        <v>0</v>
      </c>
      <c r="B323" s="290">
        <v>36</v>
      </c>
      <c r="C323" s="289">
        <v>200</v>
      </c>
      <c r="D323" s="290">
        <v>250</v>
      </c>
      <c r="E323" s="200">
        <v>520</v>
      </c>
      <c r="F323" s="319" t="s">
        <v>694</v>
      </c>
      <c r="G323" s="290">
        <v>12.55</v>
      </c>
    </row>
    <row r="324" spans="1:10" x14ac:dyDescent="0.2">
      <c r="A324" s="290">
        <f t="shared" ca="1" si="11"/>
        <v>1</v>
      </c>
      <c r="B324" s="290">
        <v>36</v>
      </c>
      <c r="C324" s="289">
        <v>170</v>
      </c>
      <c r="D324" s="290">
        <v>250</v>
      </c>
      <c r="E324" s="200">
        <v>150</v>
      </c>
      <c r="F324" s="319" t="s">
        <v>650</v>
      </c>
      <c r="G324" s="290">
        <v>5</v>
      </c>
    </row>
    <row r="325" spans="1:10" x14ac:dyDescent="0.2">
      <c r="A325" s="290">
        <f t="shared" ca="1" si="11"/>
        <v>0</v>
      </c>
      <c r="B325" s="290">
        <v>36</v>
      </c>
      <c r="C325" s="289">
        <v>170</v>
      </c>
      <c r="D325" s="290">
        <v>630</v>
      </c>
      <c r="E325" s="200">
        <v>150</v>
      </c>
      <c r="F325" s="319" t="s">
        <v>572</v>
      </c>
      <c r="G325" s="290">
        <v>6.5</v>
      </c>
    </row>
    <row r="326" spans="1:10" x14ac:dyDescent="0.2">
      <c r="A326" s="290">
        <f t="shared" ca="1" si="11"/>
        <v>0</v>
      </c>
      <c r="B326" s="290">
        <v>52</v>
      </c>
      <c r="C326" s="289">
        <v>250</v>
      </c>
      <c r="D326" s="290">
        <v>1000</v>
      </c>
      <c r="E326" s="200">
        <v>150</v>
      </c>
      <c r="F326" s="319" t="s">
        <v>653</v>
      </c>
      <c r="G326" s="290">
        <v>8</v>
      </c>
    </row>
    <row r="327" spans="1:10" x14ac:dyDescent="0.2">
      <c r="A327" s="290">
        <f t="shared" ca="1" si="11"/>
        <v>0</v>
      </c>
      <c r="B327" s="290">
        <v>42</v>
      </c>
      <c r="C327" s="289">
        <v>200</v>
      </c>
      <c r="D327" s="290">
        <v>250</v>
      </c>
      <c r="E327" s="200">
        <v>500</v>
      </c>
      <c r="F327" s="319" t="s">
        <v>409</v>
      </c>
      <c r="G327" s="290">
        <v>15</v>
      </c>
    </row>
    <row r="328" spans="1:10" x14ac:dyDescent="0.2">
      <c r="A328" s="290">
        <f t="shared" ca="1" si="11"/>
        <v>0</v>
      </c>
      <c r="B328" s="290">
        <v>52</v>
      </c>
      <c r="C328" s="200">
        <v>250</v>
      </c>
      <c r="D328" s="289">
        <v>1000</v>
      </c>
      <c r="E328" s="200">
        <v>730</v>
      </c>
      <c r="F328" s="319" t="s">
        <v>695</v>
      </c>
      <c r="G328" s="200">
        <v>35.200000000000003</v>
      </c>
    </row>
    <row r="329" spans="1:10" x14ac:dyDescent="0.2">
      <c r="E329" s="15"/>
    </row>
    <row r="330" spans="1:10" x14ac:dyDescent="0.2">
      <c r="A330" s="49" t="s">
        <v>63</v>
      </c>
      <c r="B330" s="49" t="str">
        <f ca="1">VLOOKUP(1,A334:F346,6,FALSE)</f>
        <v>EN 250</v>
      </c>
      <c r="C330" s="49"/>
      <c r="D330" s="49">
        <f ca="1">VLOOKUP(1,A334:F346,4,FALSE)</f>
        <v>120</v>
      </c>
      <c r="E330" s="49">
        <f ca="1">VLOOKUP(1,A334:F346,5,FALSE)</f>
        <v>0.43</v>
      </c>
      <c r="F330" s="340" cm="1">
        <f t="array" aca="1" ref="F330" ca="1">IF(OR(B76="yn",B76="zn"),IF(MIN(IF(G334:G346&gt;A331*1.2,G334:G346))=0,8,4),IF(B76="D",IF(MIN(IF(G334:G346&gt;A331*1.2,G334:G346))=0,6,3),2))</f>
        <v>4</v>
      </c>
      <c r="G330" s="341"/>
      <c r="H330">
        <v>3</v>
      </c>
      <c r="I330" s="51"/>
    </row>
    <row r="331" spans="1:10" x14ac:dyDescent="0.2">
      <c r="A331" s="188">
        <f ca="1">VALUE(B50)</f>
        <v>144.33799999999999</v>
      </c>
      <c r="B331" s="188">
        <f ca="1">IF(B48/1000&lt;1.1,1,IF(B48/1000&lt;13,12,24))</f>
        <v>1</v>
      </c>
      <c r="C331" s="188" cm="1">
        <f t="array" aca="1" ref="C331" ca="1">MIN(IF(C334:C346&gt;=A331*1.2,C334:C346))</f>
        <v>250</v>
      </c>
      <c r="D331" s="339"/>
      <c r="E331" s="188"/>
      <c r="F331" s="1"/>
      <c r="H331">
        <v>4</v>
      </c>
    </row>
    <row r="332" spans="1:10" x14ac:dyDescent="0.2">
      <c r="A332" s="200" t="s">
        <v>672</v>
      </c>
      <c r="B332" s="289" t="s">
        <v>708</v>
      </c>
      <c r="C332" s="289" t="s">
        <v>709</v>
      </c>
      <c r="D332" s="289" t="s">
        <v>711</v>
      </c>
      <c r="E332" s="289" t="s">
        <v>712</v>
      </c>
      <c r="F332" s="289" t="s">
        <v>41</v>
      </c>
      <c r="H332">
        <v>6</v>
      </c>
    </row>
    <row r="333" spans="1:10" x14ac:dyDescent="0.2">
      <c r="A333" s="200"/>
      <c r="B333" s="289"/>
      <c r="C333" s="289"/>
      <c r="D333" s="289"/>
      <c r="E333" s="289"/>
      <c r="F333" s="289"/>
      <c r="H333">
        <v>8</v>
      </c>
    </row>
    <row r="334" spans="1:10" x14ac:dyDescent="0.2">
      <c r="A334" s="200">
        <f ca="1">IF(AND($B$331=B334,$C$331=C334),1,0)</f>
        <v>1</v>
      </c>
      <c r="B334" s="290">
        <v>1</v>
      </c>
      <c r="C334" s="200">
        <v>250</v>
      </c>
      <c r="D334" s="289">
        <v>120</v>
      </c>
      <c r="E334" s="200">
        <v>0.43</v>
      </c>
      <c r="F334" s="319" t="s">
        <v>566</v>
      </c>
      <c r="G334" s="200">
        <v>250</v>
      </c>
      <c r="H334" s="15"/>
      <c r="J334" s="2"/>
    </row>
    <row r="335" spans="1:10" x14ac:dyDescent="0.2">
      <c r="A335" s="200">
        <f t="shared" ref="A335:A346" ca="1" si="12">IF(AND($B$331=B335,$C$331=C335),1,0)</f>
        <v>0</v>
      </c>
      <c r="B335" s="290">
        <v>1</v>
      </c>
      <c r="C335" s="200">
        <v>630</v>
      </c>
      <c r="D335" s="289">
        <v>165</v>
      </c>
      <c r="E335" s="200">
        <v>1.1599999999999999</v>
      </c>
      <c r="F335" s="319" t="s">
        <v>567</v>
      </c>
      <c r="G335" s="200">
        <v>630</v>
      </c>
      <c r="H335" s="15"/>
      <c r="J335" s="2"/>
    </row>
    <row r="336" spans="1:10" x14ac:dyDescent="0.2">
      <c r="A336" s="200">
        <f ca="1">IF(AND($B$331=B336,$C$331=C336),1,0)</f>
        <v>0</v>
      </c>
      <c r="B336" s="290">
        <v>1</v>
      </c>
      <c r="C336" s="200">
        <v>1250</v>
      </c>
      <c r="D336" s="289">
        <v>177</v>
      </c>
      <c r="E336" s="200">
        <v>2.73</v>
      </c>
      <c r="F336" s="319" t="s">
        <v>611</v>
      </c>
      <c r="G336" s="200">
        <v>1250</v>
      </c>
      <c r="H336" s="15"/>
      <c r="J336" s="2"/>
    </row>
    <row r="337" spans="1:10" x14ac:dyDescent="0.2">
      <c r="A337" s="200">
        <f t="shared" ca="1" si="12"/>
        <v>0</v>
      </c>
      <c r="B337" s="290">
        <v>1</v>
      </c>
      <c r="C337" s="200">
        <v>2000</v>
      </c>
      <c r="D337" s="289">
        <v>240</v>
      </c>
      <c r="E337" s="200">
        <v>6.24</v>
      </c>
      <c r="F337" s="319" t="s">
        <v>565</v>
      </c>
      <c r="G337" s="200">
        <v>2000</v>
      </c>
      <c r="H337" s="15"/>
      <c r="J337" s="2"/>
    </row>
    <row r="338" spans="1:10" x14ac:dyDescent="0.2">
      <c r="A338" s="200">
        <f ca="1">IF(AND($B$331=B338,$C$331=C338),1,0)</f>
        <v>0</v>
      </c>
      <c r="B338" s="290">
        <v>1</v>
      </c>
      <c r="C338" s="200">
        <v>2500</v>
      </c>
      <c r="D338" s="289">
        <v>177</v>
      </c>
      <c r="E338" s="200">
        <v>2.73</v>
      </c>
      <c r="F338" s="319" t="s">
        <v>611</v>
      </c>
      <c r="G338" s="200">
        <v>1250</v>
      </c>
      <c r="H338" s="15"/>
      <c r="J338" s="2"/>
    </row>
    <row r="339" spans="1:10" x14ac:dyDescent="0.2">
      <c r="A339" s="200">
        <f t="shared" ca="1" si="12"/>
        <v>0</v>
      </c>
      <c r="B339" s="290">
        <v>1</v>
      </c>
      <c r="C339" s="200">
        <v>3150</v>
      </c>
      <c r="D339" s="289">
        <v>250</v>
      </c>
      <c r="E339" s="200">
        <v>8.4499999999999993</v>
      </c>
      <c r="F339" s="319" t="s">
        <v>571</v>
      </c>
      <c r="G339" s="200">
        <v>3150</v>
      </c>
      <c r="H339" s="15"/>
      <c r="J339" s="2"/>
    </row>
    <row r="340" spans="1:10" x14ac:dyDescent="0.2">
      <c r="A340" s="200">
        <f t="shared" ref="A340:A341" ca="1" si="13">IF(AND($B$331=B340,$C$331=C340),1,0)</f>
        <v>0</v>
      </c>
      <c r="B340" s="290">
        <v>1</v>
      </c>
      <c r="C340" s="200">
        <v>4000</v>
      </c>
      <c r="D340" s="289">
        <v>240</v>
      </c>
      <c r="E340" s="200">
        <v>6.24</v>
      </c>
      <c r="F340" s="319" t="s">
        <v>565</v>
      </c>
      <c r="G340" s="200">
        <v>2000</v>
      </c>
      <c r="H340" s="15"/>
      <c r="J340" s="2"/>
    </row>
    <row r="341" spans="1:10" x14ac:dyDescent="0.2">
      <c r="A341" s="200">
        <f t="shared" ca="1" si="13"/>
        <v>0</v>
      </c>
      <c r="B341" s="290">
        <v>1</v>
      </c>
      <c r="C341" s="200">
        <v>6300</v>
      </c>
      <c r="D341" s="289">
        <v>250</v>
      </c>
      <c r="E341" s="200">
        <v>8.4499999999999993</v>
      </c>
      <c r="F341" s="319" t="s">
        <v>571</v>
      </c>
      <c r="G341" s="200">
        <v>3150</v>
      </c>
      <c r="H341" s="15"/>
      <c r="J341" s="2"/>
    </row>
    <row r="342" spans="1:10" x14ac:dyDescent="0.2">
      <c r="A342" s="200">
        <f t="shared" ca="1" si="12"/>
        <v>0</v>
      </c>
      <c r="B342" s="290">
        <v>12</v>
      </c>
      <c r="C342" s="200">
        <v>250</v>
      </c>
      <c r="D342" s="289">
        <v>310</v>
      </c>
      <c r="E342" s="200">
        <v>5.65</v>
      </c>
      <c r="F342" s="319" t="s">
        <v>612</v>
      </c>
      <c r="G342" s="200">
        <v>250</v>
      </c>
      <c r="H342" s="15"/>
      <c r="J342" s="2"/>
    </row>
    <row r="343" spans="1:10" x14ac:dyDescent="0.2">
      <c r="A343" s="200">
        <f t="shared" ca="1" si="12"/>
        <v>0</v>
      </c>
      <c r="B343" s="290">
        <v>12</v>
      </c>
      <c r="C343" s="200">
        <v>630</v>
      </c>
      <c r="D343" s="289">
        <v>310</v>
      </c>
      <c r="E343" s="200">
        <v>8</v>
      </c>
      <c r="F343" s="319" t="s">
        <v>568</v>
      </c>
      <c r="G343" s="200">
        <v>630</v>
      </c>
      <c r="H343" s="15"/>
      <c r="J343" s="2"/>
    </row>
    <row r="344" spans="1:10" x14ac:dyDescent="0.2">
      <c r="A344" s="200">
        <f t="shared" ca="1" si="12"/>
        <v>0</v>
      </c>
      <c r="B344" s="290">
        <v>12</v>
      </c>
      <c r="C344" s="200">
        <v>250</v>
      </c>
      <c r="D344" s="289">
        <v>150</v>
      </c>
      <c r="E344" s="200">
        <v>5</v>
      </c>
      <c r="F344" s="319" t="s">
        <v>119</v>
      </c>
      <c r="G344" s="200">
        <v>250</v>
      </c>
      <c r="H344" s="15"/>
      <c r="J344" s="2"/>
    </row>
    <row r="345" spans="1:10" x14ac:dyDescent="0.2">
      <c r="A345" s="200">
        <f t="shared" ca="1" si="12"/>
        <v>0</v>
      </c>
      <c r="B345" s="290">
        <v>24</v>
      </c>
      <c r="C345" s="200">
        <v>250</v>
      </c>
      <c r="D345" s="289">
        <v>150</v>
      </c>
      <c r="E345" s="200">
        <v>5</v>
      </c>
      <c r="F345" s="319" t="s">
        <v>651</v>
      </c>
      <c r="G345" s="200">
        <v>250</v>
      </c>
      <c r="H345" s="15"/>
      <c r="J345" s="2"/>
    </row>
    <row r="346" spans="1:10" x14ac:dyDescent="0.2">
      <c r="A346" s="200">
        <f t="shared" ca="1" si="12"/>
        <v>0</v>
      </c>
      <c r="B346" s="290">
        <v>24</v>
      </c>
      <c r="C346" s="200">
        <v>630</v>
      </c>
      <c r="D346" s="200">
        <v>150</v>
      </c>
      <c r="E346" s="200">
        <v>6.5</v>
      </c>
      <c r="F346" s="319" t="s">
        <v>652</v>
      </c>
      <c r="G346" s="200">
        <v>630</v>
      </c>
      <c r="H346" s="15"/>
      <c r="I346" s="2"/>
      <c r="J346" s="2"/>
    </row>
    <row r="347" spans="1:10" x14ac:dyDescent="0.2">
      <c r="A347" s="15"/>
      <c r="B347" s="15"/>
      <c r="C347" s="15"/>
      <c r="D347" s="15"/>
      <c r="E347" s="15"/>
    </row>
    <row r="348" spans="1:10" x14ac:dyDescent="0.2">
      <c r="A348" s="49" t="s">
        <v>60</v>
      </c>
      <c r="B348" s="49" t="str">
        <f ca="1">VLOOKUP(1,A350:F361,6,FALSE)</f>
        <v>HR 7A3.335 (30kV 30A 100mm 5 Pos)</v>
      </c>
      <c r="C348" s="49"/>
      <c r="D348" s="49"/>
      <c r="E348" s="49"/>
      <c r="F348" s="49"/>
      <c r="H348">
        <v>0</v>
      </c>
    </row>
    <row r="349" spans="1:10" x14ac:dyDescent="0.2">
      <c r="A349" s="336">
        <f ca="1">IF(B46&lt;800,0,1)</f>
        <v>0</v>
      </c>
      <c r="B349" s="336">
        <f ca="1">IF(B47/1000&lt;21,20,30)</f>
        <v>30</v>
      </c>
      <c r="C349" s="336" cm="1">
        <f t="array" aca="1" ref="C349" ca="1">MIN(IF(C352:C361&gt;=B53*(1+B64*B65/100),C352:C361))</f>
        <v>30</v>
      </c>
      <c r="D349" s="336" cm="1">
        <f t="array" aca="1" ref="D349" ca="1">MIN(IF(D352:D361&gt;=A312,D352:D361))</f>
        <v>200</v>
      </c>
      <c r="E349" s="336">
        <f ca="1">D65</f>
        <v>5</v>
      </c>
      <c r="F349" s="260"/>
      <c r="H349">
        <v>1</v>
      </c>
    </row>
    <row r="350" spans="1:10" x14ac:dyDescent="0.2">
      <c r="A350" s="200" t="s">
        <v>672</v>
      </c>
      <c r="B350" s="289" t="s">
        <v>708</v>
      </c>
      <c r="C350" s="289" t="s">
        <v>709</v>
      </c>
      <c r="D350" s="289" t="s">
        <v>710</v>
      </c>
      <c r="E350" s="289" t="s">
        <v>707</v>
      </c>
      <c r="F350" s="289" t="s">
        <v>41</v>
      </c>
    </row>
    <row r="351" spans="1:10" x14ac:dyDescent="0.2">
      <c r="A351" s="200"/>
      <c r="B351" s="289"/>
      <c r="C351" s="289"/>
      <c r="D351" s="289"/>
      <c r="E351" s="289"/>
      <c r="F351" s="289"/>
    </row>
    <row r="352" spans="1:10" x14ac:dyDescent="0.2">
      <c r="A352" s="200">
        <f ca="1">IF(AND($B$349=B352,$C$349=C352,$E$349=E352,$A$349=0),1,0)</f>
        <v>0</v>
      </c>
      <c r="B352" s="290">
        <v>20</v>
      </c>
      <c r="C352" s="200">
        <v>30</v>
      </c>
      <c r="D352" s="290">
        <v>95</v>
      </c>
      <c r="E352" s="290">
        <v>5</v>
      </c>
      <c r="F352" s="319" t="s">
        <v>699</v>
      </c>
    </row>
    <row r="353" spans="1:6" x14ac:dyDescent="0.2">
      <c r="A353" s="200">
        <f ca="1">IF(AND($B$349=B353,$C$349=C353,$E$349=E353,$A$349=0),1,0)</f>
        <v>0</v>
      </c>
      <c r="B353" s="290">
        <v>20</v>
      </c>
      <c r="C353" s="200">
        <v>30</v>
      </c>
      <c r="D353" s="290">
        <v>95</v>
      </c>
      <c r="E353" s="290">
        <v>7</v>
      </c>
      <c r="F353" s="319" t="s">
        <v>698</v>
      </c>
    </row>
    <row r="354" spans="1:6" x14ac:dyDescent="0.2">
      <c r="A354" s="200">
        <f ca="1">IF(AND($B$349=B354,$C$349=C354,$E$349=E354,$A$349=1),1,0)</f>
        <v>0</v>
      </c>
      <c r="B354" s="290">
        <v>20</v>
      </c>
      <c r="C354" s="200">
        <v>63</v>
      </c>
      <c r="D354" s="290">
        <v>95</v>
      </c>
      <c r="E354" s="290">
        <v>5</v>
      </c>
      <c r="F354" s="319" t="s">
        <v>700</v>
      </c>
    </row>
    <row r="355" spans="1:6" x14ac:dyDescent="0.2">
      <c r="A355" s="200">
        <f ca="1">IF(AND($B$349=B355,$C$349=C355,$E$349=E355,$A$349=1),1,0)</f>
        <v>0</v>
      </c>
      <c r="B355" s="290">
        <v>20</v>
      </c>
      <c r="C355" s="200">
        <v>120</v>
      </c>
      <c r="D355" s="290">
        <v>95</v>
      </c>
      <c r="E355" s="290">
        <v>5</v>
      </c>
      <c r="F355" s="319" t="s">
        <v>704</v>
      </c>
    </row>
    <row r="356" spans="1:6" x14ac:dyDescent="0.2">
      <c r="A356" s="200">
        <f ca="1">IF(AND($B$349=B356,$C$349=C356,$E$349=E356,$A$349=1),1,0)</f>
        <v>0</v>
      </c>
      <c r="B356" s="290">
        <v>20</v>
      </c>
      <c r="C356" s="200">
        <v>250</v>
      </c>
      <c r="D356" s="290">
        <v>95</v>
      </c>
      <c r="E356" s="290">
        <v>5</v>
      </c>
      <c r="F356" s="319" t="s">
        <v>729</v>
      </c>
    </row>
    <row r="357" spans="1:6" x14ac:dyDescent="0.2">
      <c r="A357" s="200">
        <f ca="1">IF(AND($B$349=B357,$C$349=C357,$E$349=E357,$A$349=0),1,0)</f>
        <v>1</v>
      </c>
      <c r="B357" s="290">
        <v>30</v>
      </c>
      <c r="C357" s="200">
        <v>30</v>
      </c>
      <c r="D357" s="290">
        <v>200</v>
      </c>
      <c r="E357" s="290">
        <v>5</v>
      </c>
      <c r="F357" s="319" t="s">
        <v>701</v>
      </c>
    </row>
    <row r="358" spans="1:6" x14ac:dyDescent="0.2">
      <c r="A358" s="200">
        <f ca="1">IF(AND($B$349=B358,$C$349=C358,$E$349=E358,$A$349=0),1,0)</f>
        <v>0</v>
      </c>
      <c r="B358" s="290">
        <v>30</v>
      </c>
      <c r="C358" s="200">
        <v>30</v>
      </c>
      <c r="D358" s="290">
        <v>200</v>
      </c>
      <c r="E358" s="290">
        <v>7</v>
      </c>
      <c r="F358" s="319" t="s">
        <v>705</v>
      </c>
    </row>
    <row r="359" spans="1:6" x14ac:dyDescent="0.2">
      <c r="A359" s="200">
        <f ca="1">IF(AND($B$349=B359,$C$349=C359,$E$349=E359,$A$349=1),1,0)</f>
        <v>0</v>
      </c>
      <c r="B359" s="290">
        <v>30</v>
      </c>
      <c r="C359" s="200">
        <v>30</v>
      </c>
      <c r="D359" s="290">
        <v>200</v>
      </c>
      <c r="E359" s="290">
        <v>5</v>
      </c>
      <c r="F359" s="319" t="s">
        <v>702</v>
      </c>
    </row>
    <row r="360" spans="1:6" x14ac:dyDescent="0.2">
      <c r="A360" s="200">
        <f ca="1">IF(AND($B$349=B360,$C$349=C360,$E$349=E360,$A$349=1),1,0)</f>
        <v>0</v>
      </c>
      <c r="B360" s="290">
        <v>30</v>
      </c>
      <c r="C360" s="200">
        <v>30</v>
      </c>
      <c r="D360" s="290">
        <v>200</v>
      </c>
      <c r="E360" s="290">
        <v>7</v>
      </c>
      <c r="F360" s="319" t="s">
        <v>706</v>
      </c>
    </row>
    <row r="361" spans="1:6" x14ac:dyDescent="0.2">
      <c r="A361" s="200">
        <f ca="1">IF(AND($B$349=B361,$C$349=C361,$E$349=E361,$A$349=1),1,0)</f>
        <v>0</v>
      </c>
      <c r="B361" s="290">
        <v>30</v>
      </c>
      <c r="C361" s="200">
        <v>63</v>
      </c>
      <c r="D361" s="290">
        <v>200</v>
      </c>
      <c r="E361" s="290">
        <v>5</v>
      </c>
      <c r="F361" s="319" t="s">
        <v>703</v>
      </c>
    </row>
    <row r="362" spans="1:6" x14ac:dyDescent="0.2">
      <c r="A362" s="15"/>
      <c r="B362" s="15"/>
      <c r="C362" s="15"/>
      <c r="D362" s="15"/>
      <c r="E362" s="15"/>
    </row>
    <row r="363" spans="1:6" x14ac:dyDescent="0.2">
      <c r="A363" s="49" t="s">
        <v>123</v>
      </c>
      <c r="B363" s="49"/>
      <c r="C363" s="49"/>
      <c r="D363" s="49"/>
      <c r="E363" s="49"/>
      <c r="F363" s="49"/>
    </row>
    <row r="364" spans="1:6" x14ac:dyDescent="0.2">
      <c r="A364" s="15" t="s">
        <v>205</v>
      </c>
      <c r="D364" s="52"/>
      <c r="E364" s="15"/>
    </row>
    <row r="365" spans="1:6" x14ac:dyDescent="0.2">
      <c r="A365" s="15" t="s">
        <v>206</v>
      </c>
      <c r="D365" s="52"/>
      <c r="E365" s="15"/>
    </row>
    <row r="366" spans="1:6" x14ac:dyDescent="0.2">
      <c r="A366" s="15" t="str">
        <f ca="1">IF(B46&lt;801,"DRAIN VALVE NW 22",IF(B46&lt;3151,"DRAIN VALVE NW 31","DRAIN VALVE NW 40"))</f>
        <v>DRAIN VALVE NW 22</v>
      </c>
      <c r="D366" s="52"/>
      <c r="E366" s="15"/>
    </row>
    <row r="367" spans="1:6" x14ac:dyDescent="0.2">
      <c r="A367" s="15" t="s">
        <v>207</v>
      </c>
      <c r="D367" s="52"/>
      <c r="E367" s="15"/>
    </row>
    <row r="368" spans="1:6" x14ac:dyDescent="0.2">
      <c r="A368" s="15" t="s">
        <v>627</v>
      </c>
      <c r="D368" s="52"/>
      <c r="E368" s="15"/>
    </row>
    <row r="369" spans="1:5" x14ac:dyDescent="0.2">
      <c r="A369" s="15" t="s">
        <v>628</v>
      </c>
      <c r="D369" s="52"/>
      <c r="E369" s="15"/>
    </row>
    <row r="370" spans="1:5" x14ac:dyDescent="0.2">
      <c r="A370" s="15" t="s">
        <v>208</v>
      </c>
      <c r="D370" s="52"/>
      <c r="E370" s="15"/>
    </row>
    <row r="371" spans="1:5" x14ac:dyDescent="0.2">
      <c r="A371" s="15" t="s">
        <v>629</v>
      </c>
      <c r="D371" s="52"/>
      <c r="E371" s="15"/>
    </row>
    <row r="372" spans="1:5" x14ac:dyDescent="0.2">
      <c r="A372" s="15" t="s">
        <v>731</v>
      </c>
      <c r="D372" s="52"/>
      <c r="E372" s="15"/>
    </row>
    <row r="373" spans="1:5" x14ac:dyDescent="0.2">
      <c r="A373" s="15" t="s">
        <v>732</v>
      </c>
      <c r="D373" s="52"/>
      <c r="E373" s="15"/>
    </row>
    <row r="374" spans="1:5" x14ac:dyDescent="0.2">
      <c r="A374" s="15" t="s">
        <v>730</v>
      </c>
      <c r="D374" s="52"/>
      <c r="E374" s="15"/>
    </row>
    <row r="375" spans="1:5" x14ac:dyDescent="0.2">
      <c r="A375" s="15" t="s">
        <v>298</v>
      </c>
    </row>
    <row r="376" spans="1:5" x14ac:dyDescent="0.2">
      <c r="A376" s="49" t="s">
        <v>120</v>
      </c>
      <c r="B376" s="49"/>
      <c r="C376" s="49"/>
      <c r="D376" s="49"/>
      <c r="E376" s="49"/>
    </row>
    <row r="377" spans="1:5" x14ac:dyDescent="0.2">
      <c r="A377" s="15" t="s">
        <v>121</v>
      </c>
      <c r="D377" s="52"/>
      <c r="E377" s="15"/>
    </row>
    <row r="378" spans="1:5" x14ac:dyDescent="0.2">
      <c r="A378" s="15" t="s">
        <v>122</v>
      </c>
      <c r="D378" s="52"/>
      <c r="E378" s="15"/>
    </row>
    <row r="379" spans="1:5" x14ac:dyDescent="0.2">
      <c r="A379" s="15" t="s">
        <v>296</v>
      </c>
      <c r="D379" s="52"/>
      <c r="E379" s="15"/>
    </row>
    <row r="380" spans="1:5" x14ac:dyDescent="0.2">
      <c r="A380" s="15" t="s">
        <v>620</v>
      </c>
      <c r="D380" s="52"/>
      <c r="E380" s="15"/>
    </row>
    <row r="381" spans="1:5" x14ac:dyDescent="0.2">
      <c r="A381" s="15" t="s">
        <v>209</v>
      </c>
      <c r="D381" s="52"/>
      <c r="E381" s="15"/>
    </row>
    <row r="382" spans="1:5" x14ac:dyDescent="0.2">
      <c r="A382" s="15" t="s">
        <v>297</v>
      </c>
      <c r="D382" s="52"/>
      <c r="E382" s="15"/>
    </row>
    <row r="383" spans="1:5" x14ac:dyDescent="0.2">
      <c r="A383" s="15" t="s">
        <v>675</v>
      </c>
      <c r="D383" s="52"/>
      <c r="E383" s="15"/>
    </row>
    <row r="384" spans="1:5" x14ac:dyDescent="0.2">
      <c r="A384" s="15" t="s">
        <v>676</v>
      </c>
      <c r="D384" s="52"/>
      <c r="E384" s="15"/>
    </row>
    <row r="385" spans="1:13" x14ac:dyDescent="0.2">
      <c r="A385" s="50"/>
      <c r="E385" s="15"/>
      <c r="H385" s="18"/>
      <c r="I385" s="18"/>
      <c r="J385" s="18"/>
      <c r="K385" s="18"/>
      <c r="L385" s="18"/>
      <c r="M385" s="18"/>
    </row>
    <row r="386" spans="1:13" x14ac:dyDescent="0.2">
      <c r="A386" s="49" t="s">
        <v>213</v>
      </c>
      <c r="B386" s="49"/>
      <c r="C386" s="49"/>
      <c r="D386" s="49"/>
      <c r="E386" s="49"/>
      <c r="G386" s="260" t="s">
        <v>664</v>
      </c>
      <c r="H386" s="290" t="s">
        <v>672</v>
      </c>
      <c r="I386" s="290" t="s">
        <v>663</v>
      </c>
      <c r="J386" s="290" t="s">
        <v>759</v>
      </c>
      <c r="K386" s="290" t="s">
        <v>112</v>
      </c>
      <c r="L386" s="290" t="s">
        <v>673</v>
      </c>
      <c r="M386" s="290" t="s">
        <v>163</v>
      </c>
    </row>
    <row r="387" spans="1:13" x14ac:dyDescent="0.2">
      <c r="A387" s="15" t="s">
        <v>320</v>
      </c>
      <c r="B387">
        <f>IF(ISERROR(VLOOKUP(1,H387:I388,2,FALSE)),0,VLOOKUP(1,H387:I388,2,FALSE))</f>
        <v>0</v>
      </c>
      <c r="G387" s="260" t="s">
        <v>661</v>
      </c>
      <c r="H387" s="260">
        <f>IF(AND('Bill of Materials'!E89=1,LEFT('Bill of Materials'!B56,7)="Plug-in"),1,0)</f>
        <v>0</v>
      </c>
      <c r="I387" s="260">
        <v>350</v>
      </c>
      <c r="J387" s="260">
        <f>630+422</f>
        <v>1052</v>
      </c>
      <c r="K387" s="260">
        <v>747</v>
      </c>
      <c r="L387" s="260">
        <v>391</v>
      </c>
      <c r="M387" s="260">
        <v>100</v>
      </c>
    </row>
    <row r="388" spans="1:13" x14ac:dyDescent="0.2">
      <c r="A388" s="15" t="s">
        <v>321</v>
      </c>
      <c r="B388">
        <f ca="1">IF(ISERROR(VLOOKUP(1,H391:I398,2,FALSE)),0,VLOOKUP(1,H391:I398,2,FALSE))</f>
        <v>0</v>
      </c>
      <c r="G388" s="260" t="s">
        <v>662</v>
      </c>
      <c r="H388" s="260">
        <f>IF(AND('Bill of Materials'!E89=1,LEFT('Bill of Materials'!B56,2)="1M"),1,0)</f>
        <v>0</v>
      </c>
      <c r="I388" s="260">
        <v>350</v>
      </c>
      <c r="J388" s="260">
        <f>465+397</f>
        <v>862</v>
      </c>
      <c r="K388" s="260">
        <v>578</v>
      </c>
      <c r="L388" s="260">
        <v>318</v>
      </c>
      <c r="M388" s="260">
        <v>57</v>
      </c>
    </row>
    <row r="389" spans="1:13" x14ac:dyDescent="0.2">
      <c r="A389" s="15" t="s">
        <v>542</v>
      </c>
      <c r="B389">
        <f>IF(H400=1,I400,0)</f>
        <v>0</v>
      </c>
    </row>
    <row r="390" spans="1:13" x14ac:dyDescent="0.2">
      <c r="A390" s="15" t="s">
        <v>613</v>
      </c>
      <c r="B390">
        <f t="shared" ref="B390:B391" si="14">IF(H401=1,I401,0)</f>
        <v>0</v>
      </c>
      <c r="G390" s="260" t="s">
        <v>665</v>
      </c>
      <c r="H390" s="260"/>
      <c r="I390" s="260" t="s">
        <v>663</v>
      </c>
      <c r="J390" s="290" t="s">
        <v>759</v>
      </c>
      <c r="K390" s="290" t="s">
        <v>112</v>
      </c>
      <c r="L390" s="290" t="s">
        <v>673</v>
      </c>
      <c r="M390" s="290" t="s">
        <v>163</v>
      </c>
    </row>
    <row r="391" spans="1:13" x14ac:dyDescent="0.2">
      <c r="A391" s="15" t="s">
        <v>674</v>
      </c>
      <c r="B391">
        <f t="shared" si="14"/>
        <v>0</v>
      </c>
      <c r="G391" s="319" t="s">
        <v>566</v>
      </c>
      <c r="H391" s="260">
        <f ca="1">IF(AND('Bill of Materials'!E90=1,'Bill of Materials'!E59=4,LEFT('Bill of Materials'!B59,6)="EN 250"),1,0)</f>
        <v>0</v>
      </c>
      <c r="I391" s="260">
        <v>500</v>
      </c>
      <c r="J391" s="260">
        <f>531+402</f>
        <v>933</v>
      </c>
      <c r="K391" s="260">
        <v>770</v>
      </c>
      <c r="L391" s="260">
        <v>331</v>
      </c>
      <c r="M391" s="260">
        <v>85</v>
      </c>
    </row>
    <row r="392" spans="1:13" x14ac:dyDescent="0.2">
      <c r="A392" s="49" t="s">
        <v>214</v>
      </c>
      <c r="B392" s="49"/>
      <c r="C392" s="49"/>
      <c r="D392" s="49"/>
      <c r="E392" s="49"/>
      <c r="G392" s="319" t="s">
        <v>567</v>
      </c>
      <c r="H392" s="260">
        <f ca="1">IF(AND('Bill of Materials'!E90=1,'Bill of Materials'!E59=4,LEFT('Bill of Materials'!B59,6)="EN 630"),1,0)</f>
        <v>0</v>
      </c>
      <c r="I392" s="260">
        <v>600</v>
      </c>
      <c r="J392" s="260">
        <f>531+402</f>
        <v>933</v>
      </c>
      <c r="K392" s="260">
        <v>770</v>
      </c>
      <c r="L392" s="260">
        <v>331</v>
      </c>
      <c r="M392" s="260">
        <v>135</v>
      </c>
    </row>
    <row r="393" spans="1:13" x14ac:dyDescent="0.2">
      <c r="A393" s="15" t="s">
        <v>215</v>
      </c>
      <c r="D393" s="52"/>
      <c r="G393" s="319" t="s">
        <v>611</v>
      </c>
      <c r="H393" s="260">
        <f ca="1">IF(AND('Bill of Materials'!E90=1,'Bill of Materials'!E59=4,LEFT('Bill of Materials'!B59,7)="EN 1250"),1,0)</f>
        <v>0</v>
      </c>
      <c r="I393" s="260">
        <v>700</v>
      </c>
      <c r="J393" s="260">
        <f>603+482</f>
        <v>1085</v>
      </c>
      <c r="K393" s="260">
        <v>1073</v>
      </c>
      <c r="L393" s="260">
        <v>386</v>
      </c>
      <c r="M393" s="260">
        <v>150</v>
      </c>
    </row>
    <row r="394" spans="1:13" x14ac:dyDescent="0.2">
      <c r="A394" s="15" t="s">
        <v>280</v>
      </c>
      <c r="D394" s="52"/>
      <c r="G394" s="319" t="s">
        <v>666</v>
      </c>
      <c r="H394" s="260">
        <f ca="1">IF(AND('Bill of Materials'!E90=1,'Bill of Materials'!E59=8,LEFT('Bill of Materials'!B59,7)="EN 1250"),1,0)</f>
        <v>0</v>
      </c>
      <c r="I394" s="260">
        <v>750</v>
      </c>
      <c r="J394" s="260">
        <f>603+482</f>
        <v>1085</v>
      </c>
      <c r="K394" s="260">
        <v>1073</v>
      </c>
      <c r="L394" s="260">
        <v>386</v>
      </c>
      <c r="M394" s="260">
        <v>180</v>
      </c>
    </row>
    <row r="395" spans="1:13" x14ac:dyDescent="0.2">
      <c r="A395" s="15" t="s">
        <v>940</v>
      </c>
      <c r="D395" s="52"/>
      <c r="G395" s="319" t="s">
        <v>565</v>
      </c>
      <c r="H395" s="260">
        <f ca="1">IF(AND('Bill of Materials'!E90=1,'Bill of Materials'!E59=4,LEFT('Bill of Materials'!B59,7)="EN 2000"),1,0)</f>
        <v>0</v>
      </c>
      <c r="I395" s="260">
        <v>800</v>
      </c>
      <c r="J395" s="260">
        <f>583+482</f>
        <v>1065</v>
      </c>
      <c r="K395" s="260">
        <v>1115</v>
      </c>
      <c r="L395" s="260">
        <v>431</v>
      </c>
      <c r="M395" s="260">
        <v>200</v>
      </c>
    </row>
    <row r="396" spans="1:13" x14ac:dyDescent="0.2">
      <c r="A396" s="15" t="s">
        <v>216</v>
      </c>
      <c r="D396" s="52"/>
      <c r="G396" s="319" t="s">
        <v>667</v>
      </c>
      <c r="H396" s="260">
        <f ca="1">IF(AND('Bill of Materials'!E90=1,'Bill of Materials'!E59=8,LEFT('Bill of Materials'!B59,7)="EN 2000"),1,0)</f>
        <v>0</v>
      </c>
      <c r="I396" s="260">
        <v>850</v>
      </c>
      <c r="J396" s="260">
        <f>863+557</f>
        <v>1420</v>
      </c>
      <c r="K396" s="260">
        <v>1115</v>
      </c>
      <c r="L396" s="260">
        <v>431</v>
      </c>
      <c r="M396" s="260">
        <v>230</v>
      </c>
    </row>
    <row r="397" spans="1:13" x14ac:dyDescent="0.2">
      <c r="A397" s="15" t="s">
        <v>621</v>
      </c>
      <c r="D397" s="52"/>
      <c r="G397" s="319" t="s">
        <v>571</v>
      </c>
      <c r="H397" s="260">
        <f ca="1">IF(AND('Bill of Materials'!E90=1,'Bill of Materials'!E59=4,LEFT('Bill of Materials'!B59,7)="EN 3150"),1,0)</f>
        <v>0</v>
      </c>
      <c r="I397" s="260">
        <v>900</v>
      </c>
      <c r="J397" s="260">
        <f>663+477</f>
        <v>1140</v>
      </c>
      <c r="K397" s="260">
        <v>1185</v>
      </c>
      <c r="L397" s="260">
        <v>518</v>
      </c>
      <c r="M397" s="260">
        <v>300</v>
      </c>
    </row>
    <row r="398" spans="1:13" x14ac:dyDescent="0.2">
      <c r="A398" s="15" t="s">
        <v>622</v>
      </c>
      <c r="D398" s="52"/>
      <c r="G398" s="319" t="s">
        <v>668</v>
      </c>
      <c r="H398" s="260">
        <f ca="1">IF(AND('Bill of Materials'!E90=1,'Bill of Materials'!E59=8,LEFT('Bill of Materials'!B59,7)="EN 3150"),1,0)</f>
        <v>0</v>
      </c>
      <c r="I398" s="260">
        <v>950</v>
      </c>
      <c r="J398" s="260">
        <f>933+562</f>
        <v>1495</v>
      </c>
      <c r="K398" s="260">
        <v>1133</v>
      </c>
      <c r="L398" s="260">
        <v>518</v>
      </c>
      <c r="M398" s="260">
        <v>340</v>
      </c>
    </row>
    <row r="399" spans="1:13" x14ac:dyDescent="0.2">
      <c r="A399" s="15" t="s">
        <v>623</v>
      </c>
      <c r="D399" s="52"/>
    </row>
    <row r="400" spans="1:13" x14ac:dyDescent="0.2">
      <c r="A400" s="15" t="s">
        <v>217</v>
      </c>
      <c r="D400" s="52"/>
      <c r="G400" s="319" t="s">
        <v>669</v>
      </c>
      <c r="H400" s="260">
        <f>IF('Bill of Materials'!E91=1,1,0)</f>
        <v>0</v>
      </c>
      <c r="I400" s="260">
        <v>250</v>
      </c>
      <c r="J400" s="260">
        <v>400</v>
      </c>
      <c r="K400" s="260">
        <v>700</v>
      </c>
      <c r="L400" s="260">
        <v>500</v>
      </c>
      <c r="M400" s="260">
        <v>10</v>
      </c>
    </row>
    <row r="401" spans="1:13" x14ac:dyDescent="0.2">
      <c r="A401" s="15" t="s">
        <v>624</v>
      </c>
      <c r="D401" s="52"/>
      <c r="G401" s="319" t="s">
        <v>670</v>
      </c>
      <c r="H401" s="260">
        <f>IF('Bill of Materials'!E92=1,1,0)</f>
        <v>0</v>
      </c>
      <c r="I401" s="260">
        <v>150</v>
      </c>
      <c r="J401" s="260">
        <v>300</v>
      </c>
      <c r="K401" s="260">
        <v>500</v>
      </c>
      <c r="L401" s="260">
        <v>300</v>
      </c>
      <c r="M401" s="260">
        <v>5</v>
      </c>
    </row>
    <row r="402" spans="1:13" x14ac:dyDescent="0.2">
      <c r="A402" s="15" t="s">
        <v>544</v>
      </c>
      <c r="D402" s="52"/>
      <c r="G402" s="319" t="s">
        <v>671</v>
      </c>
      <c r="H402" s="260">
        <f>IF('Bill of Materials'!E93=1,1,0)</f>
        <v>0</v>
      </c>
      <c r="I402" s="260">
        <v>250</v>
      </c>
      <c r="J402" s="260">
        <v>630</v>
      </c>
      <c r="K402" s="260">
        <v>750</v>
      </c>
      <c r="L402" s="260">
        <v>400</v>
      </c>
      <c r="M402" s="260">
        <v>15</v>
      </c>
    </row>
    <row r="403" spans="1:13" x14ac:dyDescent="0.2">
      <c r="A403" s="15" t="s">
        <v>279</v>
      </c>
      <c r="D403" s="52"/>
    </row>
    <row r="404" spans="1:13" x14ac:dyDescent="0.2">
      <c r="A404" s="15" t="s">
        <v>322</v>
      </c>
      <c r="D404" s="52"/>
    </row>
    <row r="405" spans="1:13" x14ac:dyDescent="0.2">
      <c r="A405" s="15" t="s">
        <v>218</v>
      </c>
      <c r="D405" s="52"/>
    </row>
    <row r="406" spans="1:13" x14ac:dyDescent="0.2">
      <c r="A406" s="15" t="s">
        <v>219</v>
      </c>
      <c r="D406" s="52"/>
    </row>
    <row r="407" spans="1:13" x14ac:dyDescent="0.2">
      <c r="A407" s="15" t="s">
        <v>220</v>
      </c>
      <c r="D407" s="52"/>
      <c r="E407" s="336" t="s">
        <v>734</v>
      </c>
      <c r="G407" s="336" t="s">
        <v>749</v>
      </c>
    </row>
    <row r="408" spans="1:13" x14ac:dyDescent="0.2">
      <c r="A408" s="15" t="s">
        <v>220</v>
      </c>
      <c r="D408" s="52"/>
      <c r="E408" s="335" t="s">
        <v>748</v>
      </c>
      <c r="F408" s="337" cm="1">
        <f t="array" aca="1" ref="F408" ca="1">MIN(IF(E409:E421&gt;=A331*1.2,E409:E421))</f>
        <v>200</v>
      </c>
      <c r="G408" s="290" cm="1">
        <f t="array" aca="1" ref="G408" ca="1">MIN(IF(E409:E421&gt;=A331,E409:E421))</f>
        <v>160</v>
      </c>
    </row>
    <row r="409" spans="1:13" x14ac:dyDescent="0.2">
      <c r="A409" s="15" t="s">
        <v>988</v>
      </c>
      <c r="D409" s="52"/>
      <c r="E409" s="290">
        <v>20</v>
      </c>
      <c r="F409" s="338" t="s">
        <v>735</v>
      </c>
      <c r="G409" s="290"/>
    </row>
    <row r="410" spans="1:13" x14ac:dyDescent="0.2">
      <c r="A410" s="15" t="s">
        <v>625</v>
      </c>
      <c r="D410" s="52"/>
      <c r="E410" s="290">
        <v>32</v>
      </c>
      <c r="F410" s="338" t="s">
        <v>736</v>
      </c>
      <c r="G410" s="290"/>
    </row>
    <row r="411" spans="1:13" x14ac:dyDescent="0.2">
      <c r="A411" s="325" t="s">
        <v>678</v>
      </c>
      <c r="D411" s="52"/>
      <c r="E411" s="290">
        <v>63</v>
      </c>
      <c r="F411" s="338" t="s">
        <v>737</v>
      </c>
      <c r="G411" s="290"/>
    </row>
    <row r="412" spans="1:13" x14ac:dyDescent="0.2">
      <c r="A412" s="325" t="s">
        <v>679</v>
      </c>
      <c r="D412" s="52"/>
      <c r="E412" s="290">
        <v>100</v>
      </c>
      <c r="F412" s="338" t="s">
        <v>738</v>
      </c>
      <c r="G412" s="290"/>
    </row>
    <row r="413" spans="1:13" x14ac:dyDescent="0.2">
      <c r="A413" s="15" t="s">
        <v>543</v>
      </c>
      <c r="D413" s="52"/>
      <c r="E413" s="290">
        <v>125</v>
      </c>
      <c r="F413" s="338" t="s">
        <v>739</v>
      </c>
      <c r="G413" s="290"/>
    </row>
    <row r="414" spans="1:13" x14ac:dyDescent="0.2">
      <c r="A414" s="325" t="s">
        <v>804</v>
      </c>
      <c r="D414" s="52"/>
      <c r="E414" s="290">
        <v>160</v>
      </c>
      <c r="F414" s="338" t="s">
        <v>740</v>
      </c>
      <c r="G414" s="290"/>
    </row>
    <row r="415" spans="1:13" x14ac:dyDescent="0.2">
      <c r="A415" s="15" t="s">
        <v>830</v>
      </c>
      <c r="D415" s="52"/>
      <c r="E415" s="290">
        <v>200</v>
      </c>
      <c r="F415" s="338" t="s">
        <v>741</v>
      </c>
      <c r="G415" s="290"/>
    </row>
    <row r="416" spans="1:13" x14ac:dyDescent="0.2">
      <c r="A416" s="15" t="s">
        <v>833</v>
      </c>
      <c r="D416" s="52"/>
      <c r="E416" s="290">
        <v>250</v>
      </c>
      <c r="F416" s="338" t="s">
        <v>742</v>
      </c>
      <c r="G416" s="290"/>
    </row>
    <row r="417" spans="1:7" x14ac:dyDescent="0.2">
      <c r="A417" s="15" t="s">
        <v>831</v>
      </c>
      <c r="D417" s="52"/>
      <c r="E417" s="290">
        <v>315</v>
      </c>
      <c r="F417" s="338" t="s">
        <v>743</v>
      </c>
      <c r="G417" s="290"/>
    </row>
    <row r="418" spans="1:7" x14ac:dyDescent="0.2">
      <c r="A418" s="15" t="s">
        <v>832</v>
      </c>
      <c r="D418" s="52"/>
      <c r="E418" s="290">
        <v>400</v>
      </c>
      <c r="F418" s="338" t="s">
        <v>744</v>
      </c>
      <c r="G418" s="290"/>
    </row>
    <row r="419" spans="1:7" x14ac:dyDescent="0.2">
      <c r="A419" s="15" t="s">
        <v>680</v>
      </c>
      <c r="D419" s="52"/>
      <c r="E419" s="290">
        <v>500</v>
      </c>
      <c r="F419" s="338" t="s">
        <v>745</v>
      </c>
      <c r="G419" s="290"/>
    </row>
    <row r="420" spans="1:7" x14ac:dyDescent="0.2">
      <c r="A420" s="15" t="s">
        <v>681</v>
      </c>
      <c r="D420" s="52"/>
      <c r="E420" s="290">
        <v>630</v>
      </c>
      <c r="F420" s="338" t="s">
        <v>746</v>
      </c>
      <c r="G420" s="290"/>
    </row>
    <row r="421" spans="1:7" x14ac:dyDescent="0.2">
      <c r="A421" s="15" t="s">
        <v>682</v>
      </c>
      <c r="D421" s="52"/>
      <c r="E421" s="290">
        <v>800</v>
      </c>
      <c r="F421" s="338" t="s">
        <v>747</v>
      </c>
      <c r="G421" s="290"/>
    </row>
    <row r="422" spans="1:7" x14ac:dyDescent="0.2">
      <c r="A422" s="15" t="s">
        <v>683</v>
      </c>
      <c r="D422" s="52"/>
    </row>
    <row r="423" spans="1:7" x14ac:dyDescent="0.2">
      <c r="A423" s="15" t="s">
        <v>684</v>
      </c>
      <c r="D423" s="52"/>
    </row>
    <row r="424" spans="1:7" x14ac:dyDescent="0.2">
      <c r="A424" s="15" t="s">
        <v>685</v>
      </c>
      <c r="D424" s="52"/>
    </row>
    <row r="425" spans="1:7" x14ac:dyDescent="0.2">
      <c r="A425" s="15" t="s">
        <v>733</v>
      </c>
      <c r="D425" s="52"/>
    </row>
    <row r="426" spans="1:7" x14ac:dyDescent="0.2">
      <c r="A426" s="15" t="s">
        <v>837</v>
      </c>
      <c r="D426" s="52"/>
    </row>
    <row r="427" spans="1:7" x14ac:dyDescent="0.2">
      <c r="A427" s="15" t="s">
        <v>838</v>
      </c>
      <c r="B427" s="15"/>
      <c r="D427" s="52"/>
    </row>
    <row r="428" spans="1:7" x14ac:dyDescent="0.2">
      <c r="A428" s="15" t="s">
        <v>839</v>
      </c>
      <c r="B428" s="15"/>
      <c r="D428" s="52"/>
    </row>
    <row r="429" spans="1:7" x14ac:dyDescent="0.2">
      <c r="A429" s="15" t="s">
        <v>840</v>
      </c>
      <c r="B429" s="15"/>
      <c r="D429" s="52"/>
    </row>
    <row r="430" spans="1:7" x14ac:dyDescent="0.2">
      <c r="A430" s="15" t="s">
        <v>841</v>
      </c>
      <c r="B430" s="15"/>
      <c r="D430" s="52"/>
    </row>
    <row r="431" spans="1:7" x14ac:dyDescent="0.2">
      <c r="A431" s="15" t="s">
        <v>842</v>
      </c>
      <c r="D431" s="52"/>
    </row>
    <row r="432" spans="1:7" x14ac:dyDescent="0.2">
      <c r="A432" s="15"/>
      <c r="D432" s="52"/>
    </row>
    <row r="433" spans="1:12" x14ac:dyDescent="0.2">
      <c r="A433" s="15"/>
      <c r="D433" s="52"/>
    </row>
    <row r="434" spans="1:12" x14ac:dyDescent="0.2">
      <c r="A434" s="51"/>
      <c r="B434" s="51"/>
      <c r="C434" s="51"/>
      <c r="D434" s="51"/>
      <c r="E434" s="51"/>
    </row>
    <row r="435" spans="1:12" ht="15" x14ac:dyDescent="0.2">
      <c r="A435" s="49" t="s">
        <v>210</v>
      </c>
      <c r="B435" s="49"/>
      <c r="C435" s="49"/>
      <c r="D435" s="49"/>
      <c r="E435" s="49"/>
      <c r="F435" s="326" t="s">
        <v>642</v>
      </c>
      <c r="G435" s="392" t="s">
        <v>690</v>
      </c>
      <c r="H435" s="393"/>
      <c r="I435" s="394" t="s">
        <v>691</v>
      </c>
      <c r="J435" s="395"/>
      <c r="K435" s="328"/>
    </row>
    <row r="436" spans="1:12" ht="15" x14ac:dyDescent="0.2">
      <c r="A436" s="15" t="s">
        <v>211</v>
      </c>
      <c r="D436" s="52">
        <f>IF(Techspecs!H51="Galvanize",B237,0)</f>
        <v>0</v>
      </c>
      <c r="F436" s="326" cm="1">
        <f t="array" aca="1" ref="F436" ca="1">IF(B46&lt;250,250,IF(ISERROR(MATCH(B46,F437:F444,0)),INDEX(F437:F444,MATCH(B46,F437:F444)+1),B46))</f>
        <v>250</v>
      </c>
      <c r="G436" s="326" t="s">
        <v>688</v>
      </c>
      <c r="H436" s="326" t="s">
        <v>689</v>
      </c>
      <c r="I436" s="326" t="s">
        <v>688</v>
      </c>
      <c r="J436" s="327" t="s">
        <v>689</v>
      </c>
      <c r="K436" s="329"/>
    </row>
    <row r="437" spans="1:12" ht="15" x14ac:dyDescent="0.2">
      <c r="A437" s="15" t="s">
        <v>212</v>
      </c>
      <c r="D437" s="52">
        <f ca="1">IF(Techspecs!H51="Marine paint",VLOOKUP(F436,Q!F437:J442,4),VLOOKUP(F436,Q!F437:J442,2))</f>
        <v>10</v>
      </c>
      <c r="F437" s="326">
        <v>250</v>
      </c>
      <c r="G437" s="326">
        <v>5</v>
      </c>
      <c r="H437" s="326">
        <v>6</v>
      </c>
      <c r="I437" s="326">
        <v>10</v>
      </c>
      <c r="J437" s="327">
        <v>6</v>
      </c>
      <c r="K437" s="329"/>
    </row>
    <row r="438" spans="1:12" ht="15" x14ac:dyDescent="0.2">
      <c r="A438" s="15" t="str">
        <f>IF(Techspecs!H51="Marine Paint","POWDER PAINT ("&amp;Techspecs!H52&amp;") Marine Grade","POWDER PAINT ("&amp;Techspecs!H52&amp;")")</f>
        <v>POWDER PAINT (RAL6028) Marine Grade</v>
      </c>
      <c r="D438" s="52">
        <f ca="1">IF(Techspecs!H51="Marine paint",VLOOKUP(F436,Q!F437:J442,5),VLOOKUP(F436,Q!F437:J442,3))</f>
        <v>6</v>
      </c>
      <c r="F438" s="326">
        <v>800</v>
      </c>
      <c r="G438" s="326">
        <v>10</v>
      </c>
      <c r="H438" s="326">
        <v>15</v>
      </c>
      <c r="I438" s="326">
        <v>20</v>
      </c>
      <c r="J438" s="327">
        <v>15</v>
      </c>
      <c r="K438" s="329"/>
      <c r="L438">
        <f ca="1">VLOOKUP(F436,Q!F437:J442,4,TRUE)</f>
        <v>10</v>
      </c>
    </row>
    <row r="439" spans="1:12" ht="15" x14ac:dyDescent="0.2">
      <c r="A439" s="15" t="s">
        <v>843</v>
      </c>
      <c r="D439">
        <f ca="1">D437</f>
        <v>10</v>
      </c>
      <c r="F439" s="326">
        <v>1250</v>
      </c>
      <c r="G439" s="326">
        <v>15</v>
      </c>
      <c r="H439" s="326">
        <v>20</v>
      </c>
      <c r="I439" s="326">
        <v>30</v>
      </c>
      <c r="J439" s="327">
        <v>20</v>
      </c>
      <c r="K439" s="329"/>
    </row>
    <row r="440" spans="1:12" ht="15" x14ac:dyDescent="0.2">
      <c r="A440" s="50"/>
      <c r="F440" s="326">
        <v>2000</v>
      </c>
      <c r="G440" s="326">
        <v>20</v>
      </c>
      <c r="H440" s="326">
        <v>30</v>
      </c>
      <c r="I440" s="326">
        <v>40</v>
      </c>
      <c r="J440" s="327">
        <v>30</v>
      </c>
      <c r="K440" s="329"/>
    </row>
    <row r="441" spans="1:12" ht="15" x14ac:dyDescent="0.2">
      <c r="A441" s="49" t="s">
        <v>783</v>
      </c>
      <c r="B441" s="49"/>
      <c r="C441" s="49"/>
      <c r="D441" s="49"/>
      <c r="E441" s="49"/>
      <c r="F441" s="326">
        <v>2500</v>
      </c>
      <c r="G441" s="326">
        <v>25</v>
      </c>
      <c r="H441" s="326">
        <v>30</v>
      </c>
      <c r="I441" s="326">
        <v>50</v>
      </c>
      <c r="J441" s="327">
        <v>30</v>
      </c>
      <c r="K441" s="329"/>
    </row>
    <row r="442" spans="1:12" ht="15" x14ac:dyDescent="0.2">
      <c r="A442" t="s">
        <v>784</v>
      </c>
      <c r="B442">
        <f ca="1">VALUE(IF(LEFT(P!D44,5)="Inner",RIGHT(P!C45,4),RIGHT(P!C44,4)))</f>
        <v>0.33</v>
      </c>
      <c r="F442" s="326">
        <v>3150</v>
      </c>
      <c r="G442" s="326">
        <v>30</v>
      </c>
      <c r="H442" s="326">
        <v>40</v>
      </c>
      <c r="I442" s="326">
        <v>60</v>
      </c>
      <c r="J442" s="327">
        <v>40</v>
      </c>
      <c r="K442" s="329"/>
    </row>
    <row r="443" spans="1:12" ht="15" x14ac:dyDescent="0.2">
      <c r="A443" t="s">
        <v>785</v>
      </c>
      <c r="B443">
        <f ca="1">VALUE(A168)</f>
        <v>607.17100000000005</v>
      </c>
      <c r="F443" s="326">
        <v>4000</v>
      </c>
      <c r="G443" s="326">
        <v>40</v>
      </c>
      <c r="H443" s="326">
        <v>50</v>
      </c>
      <c r="I443" s="326">
        <v>70</v>
      </c>
      <c r="J443" s="326">
        <v>50</v>
      </c>
    </row>
    <row r="444" spans="1:12" ht="15" x14ac:dyDescent="0.2">
      <c r="A444" t="s">
        <v>786</v>
      </c>
      <c r="B444">
        <f ca="1">VALUE(B168)</f>
        <v>36</v>
      </c>
      <c r="F444" s="326">
        <v>5000</v>
      </c>
      <c r="G444" s="326">
        <v>50</v>
      </c>
      <c r="H444" s="326">
        <v>60</v>
      </c>
      <c r="I444" s="326">
        <v>80</v>
      </c>
      <c r="J444" s="326">
        <v>60</v>
      </c>
    </row>
    <row r="445" spans="1:12" x14ac:dyDescent="0.2">
      <c r="A445" t="s">
        <v>787</v>
      </c>
      <c r="B445">
        <f ca="1">C140</f>
        <v>203</v>
      </c>
    </row>
    <row r="447" spans="1:12" x14ac:dyDescent="0.2">
      <c r="A447" s="260"/>
      <c r="B447" s="260">
        <v>0.33</v>
      </c>
      <c r="C447" s="260">
        <f ca="1">ROUNDDOWN(B444/2,0)</f>
        <v>18</v>
      </c>
      <c r="D447" s="260"/>
      <c r="E447" s="260"/>
      <c r="F447" s="260" t="str">
        <f ca="1">"1/3 Cooling Duct Between Layers "&amp;C447&amp;" &amp; "&amp;C447+1&amp;" ("&amp;B445&amp;" x "&amp;ROUND(B443/3,-1)&amp;" mm)"</f>
        <v>1/3 Cooling Duct Between Layers 18 &amp; 19 (203 x 200 mm)</v>
      </c>
      <c r="G447" s="260" t="str">
        <f>""</f>
        <v/>
      </c>
      <c r="H447" s="375"/>
      <c r="I447" s="329"/>
    </row>
    <row r="448" spans="1:12" x14ac:dyDescent="0.2">
      <c r="A448" s="260"/>
      <c r="B448" s="260">
        <v>0.67</v>
      </c>
      <c r="C448" s="260">
        <f ca="1">ROUNDDOWN(B444/2,0)</f>
        <v>18</v>
      </c>
      <c r="D448" s="260"/>
      <c r="E448" s="260"/>
      <c r="F448" s="260" t="str">
        <f ca="1">"2/3 Cooling Duct Between Layers "&amp;C448&amp;" &amp; "&amp;C448+1&amp;" ("&amp;B445&amp;" x "&amp;ROUND(2*B443/3,-1)&amp;" mm)"</f>
        <v>2/3 Cooling Duct Between Layers 18 &amp; 19 (203 x 400 mm)</v>
      </c>
      <c r="G448" s="260"/>
      <c r="H448" s="375"/>
      <c r="I448" s="329"/>
    </row>
    <row r="449" spans="1:9" x14ac:dyDescent="0.2">
      <c r="A449" s="260"/>
      <c r="B449" s="260">
        <v>1</v>
      </c>
      <c r="C449" s="260">
        <f ca="1">ROUNDDOWN(B444/2,0)</f>
        <v>18</v>
      </c>
      <c r="D449" s="260"/>
      <c r="E449" s="260"/>
      <c r="F449" s="260" t="str">
        <f ca="1">"Full Cooling Duct Between Layers "&amp;C449&amp;" &amp; "&amp;C449+1&amp;" ("&amp;B445&amp;" x "&amp;ROUND(B443,-1)&amp;" mm)"</f>
        <v>Full Cooling Duct Between Layers 18 &amp; 19 (203 x 610 mm)</v>
      </c>
      <c r="G449" s="260"/>
      <c r="H449" s="375"/>
      <c r="I449" s="329"/>
    </row>
    <row r="450" spans="1:9" x14ac:dyDescent="0.2">
      <c r="A450" s="260"/>
      <c r="B450" s="260">
        <v>1.33</v>
      </c>
      <c r="C450" s="260">
        <f ca="1">ROUNDDOWN(B444*6/14,0)</f>
        <v>15</v>
      </c>
      <c r="D450" s="260">
        <f ca="1">ROUNDDOWN(B444*10/14,0)</f>
        <v>25</v>
      </c>
      <c r="E450" s="260"/>
      <c r="F450" s="260" t="str">
        <f ca="1">"Full Cooling Duct Between Layers "&amp;C450&amp;" &amp; "&amp;C450+1&amp;" ("&amp;B445&amp;" x "&amp;ROUND(0.9*B443,-1)&amp;" mm)"</f>
        <v>Full Cooling Duct Between Layers 15 &amp; 16 (203 x 550 mm)</v>
      </c>
      <c r="G450" s="260" t="str">
        <f ca="1">"1/3 Cooling Duct Between Layers "&amp;D450&amp;" &amp; "&amp;D450+1&amp;" ("&amp;B445&amp;" x "&amp;ROUND(1.1*B443/3,-1)&amp;" mm)"</f>
        <v>1/3 Cooling Duct Between Layers 25 &amp; 26 (203 x 220 mm)</v>
      </c>
      <c r="H450" s="375"/>
      <c r="I450" s="329"/>
    </row>
    <row r="451" spans="1:9" x14ac:dyDescent="0.2">
      <c r="A451" s="260"/>
      <c r="B451" s="260">
        <v>1.67</v>
      </c>
      <c r="C451" s="260">
        <f ca="1">ROUNDDOWN(B444*6/16,0)</f>
        <v>13</v>
      </c>
      <c r="D451" s="260">
        <f ca="1">ROUNDDOWN(B444*11/16,0)</f>
        <v>24</v>
      </c>
      <c r="E451" s="260"/>
      <c r="F451" s="260" t="str">
        <f ca="1">"Full Cooling Duct Between Layers "&amp;C451&amp;" &amp; "&amp;C451+1&amp;" ("&amp;B445&amp;" x "&amp;ROUND(0.9*B443,-1)&amp;" mm)"</f>
        <v>Full Cooling Duct Between Layers 13 &amp; 14 (203 x 550 mm)</v>
      </c>
      <c r="G451" s="260" t="str">
        <f ca="1">"2/3 Cooling Duct Between Layers "&amp;D451&amp;" &amp; "&amp;D451+1&amp;" ("&amp;B445&amp;" x "&amp;ROUND(1.1*2*B443/3,-1)&amp;" mm)"</f>
        <v>2/3 Cooling Duct Between Layers 24 &amp; 25 (203 x 450 mm)</v>
      </c>
      <c r="H451" s="375"/>
      <c r="I451" s="329"/>
    </row>
    <row r="452" spans="1:9" x14ac:dyDescent="0.2">
      <c r="A452" s="260"/>
      <c r="B452" s="260">
        <v>2</v>
      </c>
      <c r="C452" s="260">
        <f ca="1">ROUNDDOWN(B444/3,0)</f>
        <v>12</v>
      </c>
      <c r="D452" s="260">
        <f ca="1">ROUNDDOWN(B444*2/3,0)</f>
        <v>24</v>
      </c>
      <c r="E452" s="260"/>
      <c r="F452" s="260" t="str">
        <f ca="1">"Full Cooling Duct Between Layers "&amp;C452&amp;" &amp; "&amp;C452+1&amp;" ("&amp;B445&amp;" x "&amp;ROUND(0.9*B443,-1)&amp;" mm)"</f>
        <v>Full Cooling Duct Between Layers 12 &amp; 13 (203 x 550 mm)</v>
      </c>
      <c r="G452" s="260" t="str">
        <f ca="1">"Full Cooling Duct Between Layers "&amp;D452&amp;" &amp; "&amp;D452+1&amp;" ("&amp;B445&amp;" x "&amp;ROUND(1.1*B443,-1)&amp;" mm)"</f>
        <v>Full Cooling Duct Between Layers 24 &amp; 25 (203 x 670 mm)</v>
      </c>
      <c r="H452" s="375"/>
      <c r="I452" s="329"/>
    </row>
    <row r="453" spans="1:9" x14ac:dyDescent="0.2">
      <c r="A453" s="260"/>
      <c r="B453" s="260">
        <v>2.33</v>
      </c>
      <c r="C453" s="260">
        <f ca="1">ROUNDDOWN(B444*6/20,0)</f>
        <v>10</v>
      </c>
      <c r="D453" s="260">
        <f ca="1">ROUNDDOWN(B444*12/20,0)</f>
        <v>21</v>
      </c>
      <c r="E453" s="260">
        <f ca="1">ROUNDDOWN(B444*16/20,0)</f>
        <v>28</v>
      </c>
      <c r="F453" s="260" t="str">
        <f ca="1">"Full Cooling Duct Between Layers "&amp;C453&amp;" &amp; "&amp;C453+1&amp;" ("&amp;B445&amp;" x "&amp;ROUND(0.85*B443,-1)&amp;" mm)"</f>
        <v>Full Cooling Duct Between Layers 10 &amp; 11 (203 x 520 mm)</v>
      </c>
      <c r="G453" s="260" t="str">
        <f ca="1">"Full Cooling Duct Between Layers "&amp;D453&amp;" &amp; "&amp;D453+1&amp;" ("&amp;B445&amp;" x "&amp;ROUND(B443,-1)&amp;" mm)"</f>
        <v>Full Cooling Duct Between Layers 21 &amp; 22 (203 x 610 mm)</v>
      </c>
      <c r="H453" s="375" t="str">
        <f ca="1">"1/3 Cooling Duct Between Layers "&amp;E453&amp;" &amp; "&amp;E453+1&amp;" ("&amp;B445&amp;" x "&amp;ROUND(1.15*B443/3,-1)&amp;" mm)"</f>
        <v>1/3 Cooling Duct Between Layers 28 &amp; 29 (203 x 230 mm)</v>
      </c>
      <c r="I453" s="329"/>
    </row>
    <row r="454" spans="1:9" x14ac:dyDescent="0.2">
      <c r="A454" s="260"/>
      <c r="B454" s="260">
        <v>2.67</v>
      </c>
      <c r="C454" s="260">
        <f ca="1">ROUNDDOWN(B444*6/22,0)</f>
        <v>9</v>
      </c>
      <c r="D454" s="260">
        <f ca="1">ROUNDDOWN(B444*12/22,0)</f>
        <v>19</v>
      </c>
      <c r="E454" s="260">
        <f ca="1">ROUNDDOWN(B444*17/22,0)</f>
        <v>27</v>
      </c>
      <c r="F454" s="260" t="str">
        <f ca="1">"Full Cooling Duct Between Layers "&amp;C453&amp;" &amp; "&amp;C454+1&amp;" ("&amp;B445&amp;" x "&amp;ROUND(0.85*B443,-1)&amp;" mm)"</f>
        <v>Full Cooling Duct Between Layers 10 &amp; 10 (203 x 520 mm)</v>
      </c>
      <c r="G454" s="260" t="str">
        <f ca="1">"Full Cooling Duct Between Layers "&amp;D454&amp;" &amp; "&amp;D454+1&amp;" ("&amp;B445&amp;" x "&amp;ROUND(B443,-1)&amp;" mm)"</f>
        <v>Full Cooling Duct Between Layers 19 &amp; 20 (203 x 610 mm)</v>
      </c>
      <c r="H454" s="375" t="str">
        <f ca="1">"2/3 Cooling Duct Between Layers "&amp;E454&amp;" &amp; "&amp;E454+1&amp;" ("&amp;B445&amp;" x "&amp;ROUND(1.15*2*B443/3,-1)&amp;" mm)"</f>
        <v>2/3 Cooling Duct Between Layers 27 &amp; 28 (203 x 470 mm)</v>
      </c>
      <c r="I454" s="329"/>
    </row>
    <row r="455" spans="1:9" x14ac:dyDescent="0.2">
      <c r="A455" s="260"/>
      <c r="B455" s="260">
        <v>3</v>
      </c>
      <c r="C455" s="260">
        <f ca="1">ROUNDDOWN(B444*2/8,0)</f>
        <v>9</v>
      </c>
      <c r="D455" s="260">
        <f ca="1">ROUNDDOWN(B444*4/8,0)</f>
        <v>18</v>
      </c>
      <c r="E455" s="260">
        <f ca="1">ROUNDDOWN(B444*6/8,0)</f>
        <v>27</v>
      </c>
      <c r="F455" s="260" t="str">
        <f ca="1">"Full Cooling Duct Between Layers "&amp;C455&amp;" &amp; "&amp;C455+1&amp;" ("&amp;B445&amp;" x "&amp;ROUND(0.85*B443,-1)&amp;" mm)"</f>
        <v>Full Cooling Duct Between Layers 9 &amp; 10 (203 x 520 mm)</v>
      </c>
      <c r="G455" s="260" t="str">
        <f ca="1">"Full Cooling Duct Between Layers "&amp;D455&amp;" &amp; "&amp;D455+1&amp;" ("&amp;B445&amp;" x "&amp;ROUND(B443,-1)&amp;" mm)"</f>
        <v>Full Cooling Duct Between Layers 18 &amp; 19 (203 x 610 mm)</v>
      </c>
      <c r="H455" s="375" t="str">
        <f ca="1">"Full Cooling Duct Between Layers "&amp;E455&amp;" &amp; "&amp;E455+1&amp;" ("&amp;B445&amp;" x "&amp;ROUND(1.15*B443,-1)&amp;" mm)"</f>
        <v>Full Cooling Duct Between Layers 27 &amp; 28 (203 x 700 mm)</v>
      </c>
      <c r="I455" s="329"/>
    </row>
    <row r="457" spans="1:9" x14ac:dyDescent="0.2">
      <c r="A457" t="s">
        <v>788</v>
      </c>
      <c r="B457">
        <f ca="1">VALUE(RIGHT(P!C60,4))</f>
        <v>1</v>
      </c>
    </row>
    <row r="458" spans="1:9" x14ac:dyDescent="0.2">
      <c r="A458" t="s">
        <v>789</v>
      </c>
      <c r="B458">
        <f ca="1">VALUE(A174)</f>
        <v>876.5</v>
      </c>
    </row>
    <row r="459" spans="1:9" x14ac:dyDescent="0.2">
      <c r="A459" t="s">
        <v>790</v>
      </c>
      <c r="B459">
        <f ca="1">VALUE(B174)</f>
        <v>31</v>
      </c>
    </row>
    <row r="460" spans="1:9" x14ac:dyDescent="0.2">
      <c r="A460" t="s">
        <v>791</v>
      </c>
      <c r="B460">
        <f ca="1">C140</f>
        <v>203</v>
      </c>
    </row>
    <row r="462" spans="1:9" x14ac:dyDescent="0.2">
      <c r="A462" s="260"/>
      <c r="B462" s="260">
        <v>0.33</v>
      </c>
      <c r="C462" s="260">
        <f ca="1">ROUNDDOWN(B459/2,0)</f>
        <v>15</v>
      </c>
      <c r="D462" s="260"/>
      <c r="E462" s="260"/>
      <c r="F462" s="260" t="str">
        <f ca="1">"1/3 Cooling Duct Between Layers "&amp;C462&amp;" &amp; "&amp;C462+1&amp;" ("&amp;B460&amp;" x "&amp;ROUND(B458/3,-1)&amp;" mm)"</f>
        <v>1/3 Cooling Duct Between Layers 15 &amp; 16 (203 x 290 mm)</v>
      </c>
      <c r="G462" s="260" t="str">
        <f>""</f>
        <v/>
      </c>
      <c r="H462" s="260"/>
    </row>
    <row r="463" spans="1:9" x14ac:dyDescent="0.2">
      <c r="A463" s="260"/>
      <c r="B463" s="260">
        <v>0.67</v>
      </c>
      <c r="C463" s="260">
        <f ca="1">ROUNDDOWN(B459/2,0)</f>
        <v>15</v>
      </c>
      <c r="D463" s="260"/>
      <c r="E463" s="260"/>
      <c r="F463" s="260" t="str">
        <f ca="1">"2/3 Cooling Duct Between Layers "&amp;C463&amp;" &amp; "&amp;C463+1&amp;" ("&amp;B460&amp;" x "&amp;ROUND(2*B458/3,-1)&amp;" mm)"</f>
        <v>2/3 Cooling Duct Between Layers 15 &amp; 16 (203 x 580 mm)</v>
      </c>
      <c r="G463" s="260"/>
      <c r="H463" s="260"/>
    </row>
    <row r="464" spans="1:9" x14ac:dyDescent="0.2">
      <c r="A464" s="260"/>
      <c r="B464" s="260">
        <v>1</v>
      </c>
      <c r="C464" s="260">
        <f ca="1">ROUNDDOWN(B459/2,0)</f>
        <v>15</v>
      </c>
      <c r="D464" s="260"/>
      <c r="E464" s="260"/>
      <c r="F464" s="260" t="str">
        <f ca="1">"Full Cooling Duct Between Layers "&amp;C464&amp;" &amp; "&amp;C464+1&amp;" ("&amp;B460&amp;" x "&amp;ROUND(B458,-1)&amp;" mm)"</f>
        <v>Full Cooling Duct Between Layers 15 &amp; 16 (203 x 880 mm)</v>
      </c>
      <c r="G464" s="260"/>
      <c r="H464" s="260"/>
    </row>
    <row r="465" spans="1:8" x14ac:dyDescent="0.2">
      <c r="A465" s="260"/>
      <c r="B465" s="260">
        <v>1.33</v>
      </c>
      <c r="C465" s="260">
        <f ca="1">ROUNDDOWN(B459*6/14,0)</f>
        <v>13</v>
      </c>
      <c r="D465" s="260">
        <f ca="1">ROUNDDOWN(B459*10/14,0)</f>
        <v>22</v>
      </c>
      <c r="E465" s="260"/>
      <c r="F465" s="260" t="str">
        <f ca="1">"Full Cooling Duct Between Layers "&amp;C465&amp;" &amp; "&amp;C465+1&amp;" ("&amp;B460&amp;" x "&amp;ROUND(0.9*B458,-1)&amp;" mm)"</f>
        <v>Full Cooling Duct Between Layers 13 &amp; 14 (203 x 790 mm)</v>
      </c>
      <c r="G465" s="260" t="str">
        <f ca="1">"1/3 Cooling Duct Between Layers "&amp;D465&amp;" &amp; "&amp;D465+1&amp;" ("&amp;B460&amp;" x "&amp;ROUND(1.1*B458/3,-1)&amp;" mm)"</f>
        <v>1/3 Cooling Duct Between Layers 22 &amp; 23 (203 x 320 mm)</v>
      </c>
      <c r="H465" s="260"/>
    </row>
    <row r="466" spans="1:8" x14ac:dyDescent="0.2">
      <c r="A466" s="260"/>
      <c r="B466" s="260">
        <v>1.67</v>
      </c>
      <c r="C466" s="260">
        <f ca="1">ROUNDDOWN(B459*6/16,0)</f>
        <v>11</v>
      </c>
      <c r="D466" s="260">
        <f ca="1">ROUNDDOWN(B459*11/16,0)</f>
        <v>21</v>
      </c>
      <c r="E466" s="260"/>
      <c r="F466" s="260" t="str">
        <f ca="1">"Full Cooling Duct Between Layers "&amp;C466&amp;" &amp; "&amp;C466+1&amp;" ("&amp;B460&amp;" x "&amp;ROUND(0.9*B458,-1)&amp;" mm)"</f>
        <v>Full Cooling Duct Between Layers 11 &amp; 12 (203 x 790 mm)</v>
      </c>
      <c r="G466" s="260" t="str">
        <f ca="1">"2/3 Cooling Duct Between Layers "&amp;D466&amp;" &amp; "&amp;D466+1&amp;" ("&amp;B460&amp;" x "&amp;ROUND(1.1*2*B458/3,-1)&amp;" mm)"</f>
        <v>2/3 Cooling Duct Between Layers 21 &amp; 22 (203 x 640 mm)</v>
      </c>
      <c r="H466" s="260"/>
    </row>
    <row r="467" spans="1:8" x14ac:dyDescent="0.2">
      <c r="A467" s="260"/>
      <c r="B467" s="260">
        <v>2</v>
      </c>
      <c r="C467" s="260">
        <f ca="1">ROUNDDOWN(B459/3,0)</f>
        <v>10</v>
      </c>
      <c r="D467" s="260">
        <f ca="1">ROUNDDOWN(B459*2/3,0)</f>
        <v>20</v>
      </c>
      <c r="E467" s="260"/>
      <c r="F467" s="260" t="str">
        <f ca="1">"Full Cooling Duct Between Layers "&amp;C467&amp;" &amp; "&amp;C467+1&amp;" ("&amp;B460&amp;" x "&amp;ROUND(0.9*B458,-1)&amp;" mm)"</f>
        <v>Full Cooling Duct Between Layers 10 &amp; 11 (203 x 790 mm)</v>
      </c>
      <c r="G467" s="260" t="str">
        <f ca="1">"Full Cooling Duct Between Layers "&amp;D467&amp;" &amp; "&amp;D467+1&amp;" ("&amp;B460&amp;" x "&amp;ROUND(1.1*B458,-1)&amp;" mm)"</f>
        <v>Full Cooling Duct Between Layers 20 &amp; 21 (203 x 960 mm)</v>
      </c>
      <c r="H467" s="260"/>
    </row>
    <row r="468" spans="1:8" x14ac:dyDescent="0.2">
      <c r="A468" s="260"/>
      <c r="B468" s="260">
        <v>2.33</v>
      </c>
      <c r="C468" s="260">
        <f ca="1">ROUNDDOWN(B459*6/20,0)</f>
        <v>9</v>
      </c>
      <c r="D468" s="260">
        <f ca="1">ROUNDDOWN(B459*12/20,0)</f>
        <v>18</v>
      </c>
      <c r="E468" s="260">
        <f ca="1">ROUNDDOWN(B459*16/20,0)</f>
        <v>24</v>
      </c>
      <c r="F468" s="260" t="str">
        <f ca="1">"Full Cooling Duct Between Layers "&amp;C468&amp;" &amp; "&amp;C468+1&amp;" ("&amp;B460&amp;" x "&amp;ROUND(0.85*B458,-1)&amp;" mm)"</f>
        <v>Full Cooling Duct Between Layers 9 &amp; 10 (203 x 750 mm)</v>
      </c>
      <c r="G468" s="260" t="str">
        <f ca="1">"Full Cooling Duct Between Layers "&amp;D468&amp;" &amp; "&amp;D468+1&amp;" ("&amp;B460&amp;" x "&amp;ROUND(B458,-1)&amp;" mm)"</f>
        <v>Full Cooling Duct Between Layers 18 &amp; 19 (203 x 880 mm)</v>
      </c>
      <c r="H468" s="260" t="str">
        <f ca="1">"1/3 Cooling Duct Between Layers "&amp;E468&amp;" &amp; "&amp;E468+1&amp;" ("&amp;B460&amp;" x "&amp;ROUND(1.15*B458/3,-1)&amp;" mm)"</f>
        <v>1/3 Cooling Duct Between Layers 24 &amp; 25 (203 x 340 mm)</v>
      </c>
    </row>
    <row r="469" spans="1:8" x14ac:dyDescent="0.2">
      <c r="A469" s="260"/>
      <c r="B469" s="260">
        <v>2.67</v>
      </c>
      <c r="C469" s="260">
        <f ca="1">ROUNDDOWN(B459*6/22,0)</f>
        <v>8</v>
      </c>
      <c r="D469" s="260">
        <f ca="1">ROUNDDOWN(B459*12/22,0)</f>
        <v>16</v>
      </c>
      <c r="E469" s="260">
        <f ca="1">ROUNDDOWN(B459*17/22,0)</f>
        <v>23</v>
      </c>
      <c r="F469" s="260" t="str">
        <f ca="1">"Full Cooling Duct Between Layers "&amp;C468&amp;" &amp; "&amp;C469+1&amp;" ("&amp;B460&amp;" x "&amp;ROUND(0.85*B458,-1)&amp;" mm)"</f>
        <v>Full Cooling Duct Between Layers 9 &amp; 9 (203 x 750 mm)</v>
      </c>
      <c r="G469" s="260" t="str">
        <f ca="1">"Full Cooling Duct Between Layers "&amp;D469&amp;" &amp; "&amp;D469+1&amp;" ("&amp;B460&amp;" x "&amp;ROUND(B458,-1)&amp;" mm)"</f>
        <v>Full Cooling Duct Between Layers 16 &amp; 17 (203 x 880 mm)</v>
      </c>
      <c r="H469" s="260" t="str">
        <f ca="1">"2/3 Cooling Duct Between Layers "&amp;E469&amp;" &amp; "&amp;E469+1&amp;" ("&amp;B460&amp;" x "&amp;ROUND(1.15*2*B458/3,-1)&amp;" mm)"</f>
        <v>2/3 Cooling Duct Between Layers 23 &amp; 24 (203 x 670 mm)</v>
      </c>
    </row>
    <row r="470" spans="1:8" x14ac:dyDescent="0.2">
      <c r="A470" s="260"/>
      <c r="B470" s="260">
        <v>3</v>
      </c>
      <c r="C470" s="260">
        <f ca="1">ROUNDDOWN(B459*2/8,0)</f>
        <v>7</v>
      </c>
      <c r="D470" s="260">
        <f ca="1">ROUNDDOWN(B459*4/8,0)</f>
        <v>15</v>
      </c>
      <c r="E470" s="260">
        <f ca="1">ROUNDDOWN(B459*6/8,0)</f>
        <v>23</v>
      </c>
      <c r="F470" s="260" t="str">
        <f ca="1">"Full Cooling Duct Between Layers "&amp;C470&amp;" &amp; "&amp;C470+1&amp;" ("&amp;B460&amp;" x "&amp;ROUND(0.85*B458,-1)&amp;" mm)"</f>
        <v>Full Cooling Duct Between Layers 7 &amp; 8 (203 x 750 mm)</v>
      </c>
      <c r="G470" s="260" t="str">
        <f ca="1">"Full Cooling Duct Between Layers "&amp;D470&amp;" &amp; "&amp;D470+1&amp;" ("&amp;B460&amp;" x "&amp;ROUND(B458,-1)&amp;" mm)"</f>
        <v>Full Cooling Duct Between Layers 15 &amp; 16 (203 x 880 mm)</v>
      </c>
      <c r="H470" s="260" t="str">
        <f ca="1">"Full Cooling Duct Between Layers "&amp;E470&amp;" &amp; "&amp;E470+1&amp;" ("&amp;B460&amp;" x "&amp;ROUND(1.15*B458,-1)&amp;" mm)"</f>
        <v>Full Cooling Duct Between Layers 23 &amp; 24 (203 x 1010 mm)</v>
      </c>
    </row>
  </sheetData>
  <mergeCells count="4">
    <mergeCell ref="G435:H435"/>
    <mergeCell ref="I435:J435"/>
    <mergeCell ref="E254:G254"/>
    <mergeCell ref="H254:J254"/>
  </mergeCells>
  <phoneticPr fontId="0" type="noConversion"/>
  <conditionalFormatting sqref="E58">
    <cfRule type="expression" dxfId="0" priority="1">
      <formula>$B$38&lt;&gt;$B$40</formula>
    </cfRule>
  </conditionalFormatting>
  <dataValidations xWindow="414" yWindow="396" count="13">
    <dataValidation allowBlank="1" showInputMessage="1" showErrorMessage="1" prompt="WIDTH OF STRIP" sqref="A167" xr:uid="{00000000-0002-0000-0200-000000000000}"/>
    <dataValidation allowBlank="1" showInputMessage="1" showErrorMessage="1" prompt="MEAN TURN LENGTH_x000a_" sqref="A168:A169" xr:uid="{00000000-0002-0000-0200-000001000000}"/>
    <dataValidation allowBlank="1" showInputMessage="1" showErrorMessage="1" prompt="NO OF LAYERS IN LV WDG (Cu WIRE)_x000a__x000a__x000a_" sqref="B169" xr:uid="{00000000-0002-0000-0200-000002000000}"/>
    <dataValidation allowBlank="1" showInputMessage="1" showErrorMessage="1" prompt="THICKNESS OF CONDUCTOR_x000a_" sqref="B167" xr:uid="{00000000-0002-0000-0200-000003000000}"/>
    <dataValidation allowBlank="1" showInputMessage="1" showErrorMessage="1" prompt="TOTAL LENGTH" sqref="A170:A171" xr:uid="{00000000-0002-0000-0200-000004000000}"/>
    <dataValidation allowBlank="1" showInputMessage="1" showErrorMessage="1" prompt="WEIGHT OF STRIP" sqref="B170:B171" xr:uid="{00000000-0002-0000-0200-000005000000}"/>
    <dataValidation allowBlank="1" showInputMessage="1" showErrorMessage="1" prompt="NO OF LAYERS IN LV FOIL WDG_x000a__x000a_" sqref="B168" xr:uid="{00000000-0002-0000-0200-000006000000}"/>
    <dataValidation allowBlank="1" showInputMessage="1" showErrorMessage="1" prompt="std tap selector" sqref="C163:C165 C8:C9 C32 C185:C194 C349 C362" xr:uid="{00000000-0002-0000-0200-000007000000}"/>
    <dataValidation type="list" allowBlank="1" showInputMessage="1" showErrorMessage="1" sqref="D305 D33 D10:D31" xr:uid="{00000000-0002-0000-0200-000008000000}">
      <formula1>CAPACITIES</formula1>
    </dataValidation>
    <dataValidation type="list" allowBlank="1" showInputMessage="1" showErrorMessage="1" sqref="A33" xr:uid="{00000000-0002-0000-0200-000009000000}">
      <formula1>Materials</formula1>
    </dataValidation>
    <dataValidation allowBlank="1" showInputMessage="1" showErrorMessage="1" prompt="=(Width/1220) x (Length/1220)_x000a_" sqref="G262" xr:uid="{00000000-0002-0000-0200-00000A000000}"/>
    <dataValidation allowBlank="1" showInputMessage="1" showErrorMessage="1" prompt="Width/1220" sqref="E262" xr:uid="{00000000-0002-0000-0200-00000B000000}"/>
    <dataValidation allowBlank="1" showInputMessage="1" showErrorMessage="1" prompt="Length/1220_x000a_" sqref="F262" xr:uid="{00000000-0002-0000-0200-00000C000000}"/>
  </dataValidations>
  <pageMargins left="0.75" right="0.75" top="1" bottom="1" header="0.5" footer="0.5"/>
  <pageSetup paperSize="32767" orientation="portrait" horizontalDpi="1200" verticalDpi="1200" r:id="rId1"/>
  <headerFooter alignWithMargins="0"/>
  <ignoredErrors>
    <ignoredError sqref="G272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O170"/>
  <sheetViews>
    <sheetView showZeros="0" tabSelected="1" zoomScale="90" zoomScaleNormal="90" workbookViewId="0">
      <selection activeCell="P18" sqref="P18"/>
    </sheetView>
  </sheetViews>
  <sheetFormatPr defaultRowHeight="12.75" x14ac:dyDescent="0.2"/>
  <cols>
    <col min="1" max="1" width="4.5703125" customWidth="1"/>
    <col min="2" max="2" width="16.7109375" customWidth="1"/>
    <col min="3" max="3" width="26.28515625" customWidth="1"/>
    <col min="4" max="4" width="5" customWidth="1"/>
    <col min="5" max="5" width="7.7109375" style="80" customWidth="1"/>
    <col min="6" max="6" width="7.7109375" customWidth="1"/>
    <col min="7" max="7" width="11.28515625" style="80" customWidth="1"/>
    <col min="8" max="8" width="7.7109375" customWidth="1"/>
    <col min="9" max="9" width="14.7109375" style="80" bestFit="1" customWidth="1"/>
    <col min="10" max="10" width="15" customWidth="1"/>
    <col min="12" max="12" width="32.5703125" customWidth="1"/>
    <col min="13" max="13" width="19.85546875" customWidth="1"/>
    <col min="14" max="14" width="17.140625" customWidth="1"/>
    <col min="15" max="15" width="19.28515625" customWidth="1"/>
  </cols>
  <sheetData>
    <row r="1" spans="1:15" s="80" customFormat="1" x14ac:dyDescent="0.2">
      <c r="A1" s="50"/>
    </row>
    <row r="2" spans="1:15" ht="18.75" customHeight="1" x14ac:dyDescent="0.3">
      <c r="A2" s="403" t="s">
        <v>39</v>
      </c>
      <c r="B2" s="404"/>
      <c r="C2" s="404"/>
      <c r="D2" s="404"/>
      <c r="E2" s="404"/>
      <c r="F2" s="404"/>
      <c r="G2" s="404"/>
      <c r="H2" s="404"/>
      <c r="I2" s="404"/>
      <c r="J2" s="404"/>
    </row>
    <row r="3" spans="1:15" x14ac:dyDescent="0.2">
      <c r="A3" s="91"/>
    </row>
    <row r="4" spans="1:15" ht="15.75" customHeight="1" x14ac:dyDescent="0.25">
      <c r="A4" s="405" t="s">
        <v>133</v>
      </c>
      <c r="B4" s="405"/>
      <c r="C4" s="406" t="str">
        <f ca="1">Techspecs!F12&amp;Q!A46&amp;" "&amp;Q!B47&amp;"/"&amp;Q!B48&amp;"V"</f>
        <v>100kVA 33000/400V</v>
      </c>
      <c r="D4" s="406"/>
      <c r="E4" s="406"/>
      <c r="F4" s="406"/>
      <c r="G4" s="406"/>
      <c r="H4" s="406"/>
      <c r="I4" s="406"/>
      <c r="J4" s="406"/>
    </row>
    <row r="5" spans="1:15" ht="15.75" customHeight="1" x14ac:dyDescent="0.25">
      <c r="A5" s="405" t="s">
        <v>641</v>
      </c>
      <c r="B5" s="405"/>
      <c r="C5" s="259"/>
      <c r="D5" s="259"/>
      <c r="E5" s="259"/>
      <c r="F5" s="259"/>
      <c r="G5" s="259"/>
      <c r="H5" s="259"/>
      <c r="I5" s="259"/>
      <c r="J5" s="259"/>
    </row>
    <row r="6" spans="1:15" ht="15.75" customHeight="1" x14ac:dyDescent="0.25">
      <c r="A6" s="405" t="s">
        <v>58</v>
      </c>
      <c r="B6" s="405"/>
      <c r="C6" s="406" t="s">
        <v>1158</v>
      </c>
      <c r="D6" s="406"/>
      <c r="E6" s="406"/>
      <c r="F6" s="406"/>
      <c r="G6" s="406"/>
      <c r="H6" s="406"/>
      <c r="I6" s="406"/>
      <c r="J6" s="406"/>
    </row>
    <row r="7" spans="1:15" ht="15.75" customHeight="1" x14ac:dyDescent="0.25">
      <c r="A7" s="405" t="s">
        <v>134</v>
      </c>
      <c r="B7" s="405"/>
      <c r="C7" s="406">
        <v>73</v>
      </c>
      <c r="D7" s="406"/>
      <c r="E7" s="406"/>
      <c r="F7" s="406"/>
      <c r="G7" s="406"/>
      <c r="H7" s="406"/>
      <c r="I7" s="406"/>
      <c r="J7" s="406"/>
    </row>
    <row r="8" spans="1:15" ht="13.5" thickBot="1" x14ac:dyDescent="0.25">
      <c r="A8" s="92"/>
      <c r="B8" s="93"/>
      <c r="C8" s="93"/>
      <c r="D8" s="93"/>
      <c r="E8" s="94"/>
      <c r="F8" s="93"/>
      <c r="G8" s="94"/>
      <c r="H8" s="93"/>
      <c r="I8" s="94"/>
      <c r="J8" s="93"/>
    </row>
    <row r="9" spans="1:15" ht="28.5" customHeight="1" thickBot="1" x14ac:dyDescent="0.25">
      <c r="A9" s="280"/>
      <c r="B9" s="281" t="s">
        <v>40</v>
      </c>
      <c r="C9" s="281" t="s">
        <v>41</v>
      </c>
      <c r="D9" s="281" t="s">
        <v>42</v>
      </c>
      <c r="E9" s="281" t="s">
        <v>43</v>
      </c>
      <c r="F9" s="281" t="s">
        <v>252</v>
      </c>
      <c r="G9" s="281" t="s">
        <v>254</v>
      </c>
      <c r="H9" s="281" t="s">
        <v>86</v>
      </c>
      <c r="I9" s="281" t="s">
        <v>44</v>
      </c>
      <c r="J9" s="282" t="s">
        <v>626</v>
      </c>
      <c r="L9" s="387" t="s">
        <v>1159</v>
      </c>
      <c r="M9" s="387"/>
      <c r="N9" s="387"/>
      <c r="O9" s="387"/>
    </row>
    <row r="10" spans="1:15" ht="12.75" customHeight="1" x14ac:dyDescent="0.2">
      <c r="A10" s="95"/>
      <c r="B10" s="96" t="s">
        <v>130</v>
      </c>
      <c r="C10" s="97"/>
      <c r="D10" s="98"/>
      <c r="E10" s="99" t="s">
        <v>169</v>
      </c>
      <c r="F10" s="100"/>
      <c r="G10" s="101"/>
      <c r="H10" s="102"/>
      <c r="I10" s="103"/>
      <c r="J10" s="104"/>
      <c r="O10" s="221"/>
    </row>
    <row r="11" spans="1:15" ht="15" x14ac:dyDescent="0.2">
      <c r="A11" s="105">
        <v>1</v>
      </c>
      <c r="B11" s="22" t="s">
        <v>241</v>
      </c>
      <c r="C11" s="22" t="str">
        <f>Q!A220</f>
        <v>Inhibited Mineral Oil</v>
      </c>
      <c r="D11" s="22" t="s">
        <v>407</v>
      </c>
      <c r="E11" s="113">
        <f ca="1">Q!B220</f>
        <v>339.08045977011494</v>
      </c>
      <c r="F11" s="376">
        <v>1.3</v>
      </c>
      <c r="G11" s="181">
        <f ca="1">E11*F11</f>
        <v>440.80459770114942</v>
      </c>
      <c r="H11" s="77">
        <f ca="1">G11/G$145</f>
        <v>0.10116353576813746</v>
      </c>
      <c r="I11" s="181">
        <f ca="1">E11*$C$7</f>
        <v>24752.873563218393</v>
      </c>
      <c r="J11" s="70"/>
      <c r="M11" s="221"/>
      <c r="O11" s="221"/>
    </row>
    <row r="12" spans="1:15" ht="15" x14ac:dyDescent="0.2">
      <c r="A12" s="105">
        <v>2</v>
      </c>
      <c r="B12" s="45"/>
      <c r="C12" s="263"/>
      <c r="D12" s="22"/>
      <c r="E12" s="114"/>
      <c r="F12" s="377"/>
      <c r="G12" s="182"/>
      <c r="H12" s="78"/>
      <c r="I12" s="181"/>
      <c r="J12" s="70"/>
      <c r="M12" s="221"/>
      <c r="O12" s="221"/>
    </row>
    <row r="13" spans="1:15" ht="15" x14ac:dyDescent="0.2">
      <c r="A13" s="108"/>
      <c r="B13" s="25" t="s">
        <v>615</v>
      </c>
      <c r="C13" s="26"/>
      <c r="D13" s="24"/>
      <c r="E13" s="32"/>
      <c r="F13" s="378"/>
      <c r="G13" s="116"/>
      <c r="H13" s="79"/>
      <c r="I13" s="83"/>
      <c r="J13" s="71"/>
      <c r="O13" s="221"/>
    </row>
    <row r="14" spans="1:15" ht="14.25" customHeight="1" x14ac:dyDescent="0.2">
      <c r="A14" s="105">
        <v>3</v>
      </c>
      <c r="B14" s="22" t="s">
        <v>894</v>
      </c>
      <c r="C14" s="22" t="str">
        <f ca="1">LEFT(Q!B208,4)&amp;" x "&amp;RIGHT(Q!B208,3)/2&amp;" x 2"</f>
        <v xml:space="preserve"> 185 x 0.12 x 2</v>
      </c>
      <c r="D14" s="22" t="s">
        <v>45</v>
      </c>
      <c r="E14" s="113">
        <f ca="1">Q!B209</f>
        <v>26.09</v>
      </c>
      <c r="F14" s="376">
        <v>9.86</v>
      </c>
      <c r="G14" s="181">
        <f t="shared" ref="G14:G19" ca="1" si="0">E14*F14</f>
        <v>257.24739999999997</v>
      </c>
      <c r="H14" s="77">
        <f t="shared" ref="H14:H21" ca="1" si="1">G14/G$145</f>
        <v>5.9037625031315551E-2</v>
      </c>
      <c r="I14" s="181">
        <f ca="1">E14*$C$7</f>
        <v>1904.57</v>
      </c>
      <c r="J14" s="269">
        <f t="shared" ref="J14:J19" ca="1" si="2">E14/3</f>
        <v>8.6966666666666672</v>
      </c>
      <c r="M14" s="221"/>
      <c r="O14" s="221"/>
    </row>
    <row r="15" spans="1:15" ht="14.25" customHeight="1" x14ac:dyDescent="0.2">
      <c r="A15" s="105">
        <v>4</v>
      </c>
      <c r="B15" s="46" t="s">
        <v>939</v>
      </c>
      <c r="C15" s="22" t="str">
        <f ca="1">Q!A219</f>
        <v>3*25mm</v>
      </c>
      <c r="D15" s="22" t="s">
        <v>45</v>
      </c>
      <c r="E15" s="113">
        <f ca="1">Q!B217</f>
        <v>2.77</v>
      </c>
      <c r="F15" s="376">
        <v>10.51</v>
      </c>
      <c r="G15" s="181">
        <f t="shared" ca="1" si="0"/>
        <v>29.1127</v>
      </c>
      <c r="H15" s="77">
        <f t="shared" ca="1" si="1"/>
        <v>6.681290719553163E-3</v>
      </c>
      <c r="I15" s="181">
        <f t="shared" ref="I15:I21" ca="1" si="3">E15*$C$7</f>
        <v>202.21</v>
      </c>
      <c r="J15" s="269">
        <f t="shared" ca="1" si="2"/>
        <v>0.92333333333333334</v>
      </c>
      <c r="M15" s="221"/>
      <c r="O15" s="221"/>
    </row>
    <row r="16" spans="1:15" ht="14.25" customHeight="1" x14ac:dyDescent="0.2">
      <c r="A16" s="105">
        <v>5</v>
      </c>
      <c r="B16" s="22" t="s">
        <v>570</v>
      </c>
      <c r="C16" s="22" t="str">
        <f ca="1">Q!A149</f>
        <v>203mm x 0.15 DDP DL</v>
      </c>
      <c r="D16" s="22" t="s">
        <v>45</v>
      </c>
      <c r="E16" s="114">
        <f ca="1">Q!B149</f>
        <v>2.94</v>
      </c>
      <c r="F16" s="376">
        <v>9.0299999999999994</v>
      </c>
      <c r="G16" s="181">
        <f t="shared" ca="1" si="0"/>
        <v>26.548199999999998</v>
      </c>
      <c r="H16" s="77">
        <f t="shared" ca="1" si="1"/>
        <v>6.0927444819903779E-3</v>
      </c>
      <c r="I16" s="181">
        <f t="shared" ca="1" si="3"/>
        <v>214.62</v>
      </c>
      <c r="J16" s="269">
        <f t="shared" ca="1" si="2"/>
        <v>0.98</v>
      </c>
      <c r="M16" s="221"/>
      <c r="O16" s="221"/>
    </row>
    <row r="17" spans="1:15" ht="14.25" customHeight="1" x14ac:dyDescent="0.2">
      <c r="A17" s="105">
        <v>6</v>
      </c>
      <c r="B17" s="22" t="s">
        <v>569</v>
      </c>
      <c r="C17" s="22" t="str">
        <f ca="1">Q!A150</f>
        <v>203mm x 0.15 DDP SL</v>
      </c>
      <c r="D17" s="22" t="s">
        <v>45</v>
      </c>
      <c r="E17" s="113">
        <f ca="1">Q!B150</f>
        <v>0</v>
      </c>
      <c r="F17" s="376">
        <v>4.7</v>
      </c>
      <c r="G17" s="181">
        <f t="shared" ref="G17:G18" ca="1" si="4">E17*F17</f>
        <v>0</v>
      </c>
      <c r="H17" s="77">
        <f t="shared" ca="1" si="1"/>
        <v>0</v>
      </c>
      <c r="I17" s="181">
        <f t="shared" ca="1" si="3"/>
        <v>0</v>
      </c>
      <c r="J17" s="269">
        <f t="shared" ref="J17:J18" ca="1" si="5">E17/3</f>
        <v>0</v>
      </c>
      <c r="M17" s="221"/>
      <c r="O17" s="221"/>
    </row>
    <row r="18" spans="1:15" ht="14.25" customHeight="1" x14ac:dyDescent="0.2">
      <c r="A18" s="105">
        <v>7</v>
      </c>
      <c r="B18" s="22" t="s">
        <v>569</v>
      </c>
      <c r="C18" s="22" t="str">
        <f ca="1">Q!A151</f>
        <v>203mm x 0.25 DDP SL</v>
      </c>
      <c r="D18" s="22" t="s">
        <v>45</v>
      </c>
      <c r="E18" s="113">
        <f ca="1">Q!B151</f>
        <v>0</v>
      </c>
      <c r="F18" s="376">
        <v>3.72</v>
      </c>
      <c r="G18" s="181">
        <f t="shared" ca="1" si="4"/>
        <v>0</v>
      </c>
      <c r="H18" s="77">
        <f t="shared" ca="1" si="1"/>
        <v>0</v>
      </c>
      <c r="I18" s="181">
        <f t="shared" ca="1" si="3"/>
        <v>0</v>
      </c>
      <c r="J18" s="269">
        <f t="shared" ca="1" si="5"/>
        <v>0</v>
      </c>
    </row>
    <row r="19" spans="1:15" ht="14.25" customHeight="1" x14ac:dyDescent="0.2">
      <c r="A19" s="105">
        <v>8</v>
      </c>
      <c r="B19" s="22" t="s">
        <v>47</v>
      </c>
      <c r="C19" s="22" t="str">
        <f ca="1">Q!A171&amp;" x "&amp;Q!B171&amp;"mm "</f>
        <v xml:space="preserve">8 x 0.25mm </v>
      </c>
      <c r="D19" s="22" t="s">
        <v>45</v>
      </c>
      <c r="E19" s="113">
        <f ca="1">Q!B170</f>
        <v>0.22557616992000001</v>
      </c>
      <c r="F19" s="376">
        <v>5.09</v>
      </c>
      <c r="G19" s="181">
        <f t="shared" ca="1" si="0"/>
        <v>1.1481827048927999</v>
      </c>
      <c r="H19" s="77">
        <f t="shared" ca="1" si="1"/>
        <v>2.6350501501240737E-4</v>
      </c>
      <c r="I19" s="181">
        <f t="shared" ca="1" si="3"/>
        <v>16.467060404160001</v>
      </c>
      <c r="J19" s="269">
        <f t="shared" ca="1" si="2"/>
        <v>7.5192056640000005E-2</v>
      </c>
      <c r="M19" s="221"/>
      <c r="O19" s="221"/>
    </row>
    <row r="20" spans="1:15" ht="14.25" customHeight="1" x14ac:dyDescent="0.2">
      <c r="A20" s="105">
        <v>9</v>
      </c>
      <c r="B20" s="22" t="s">
        <v>616</v>
      </c>
      <c r="C20" s="22" t="str">
        <f ca="1">Q!B46&amp;"/"&amp;LEFT(Q!B47,2)&amp;IF(C5=0,""," "&amp;C5)&amp;" INLV"</f>
        <v>100/33 INLV</v>
      </c>
      <c r="D20" s="22" t="s">
        <v>46</v>
      </c>
      <c r="E20" s="384">
        <v>3</v>
      </c>
      <c r="F20" s="376">
        <v>2</v>
      </c>
      <c r="G20" s="181">
        <f t="shared" ref="G20:G21" si="6">E20*F20</f>
        <v>6</v>
      </c>
      <c r="H20" s="77">
        <f t="shared" ca="1" si="1"/>
        <v>1.3769847632586114E-3</v>
      </c>
      <c r="I20" s="181">
        <f t="shared" si="3"/>
        <v>219</v>
      </c>
      <c r="J20" s="269"/>
      <c r="M20" s="221"/>
      <c r="O20" s="221"/>
    </row>
    <row r="21" spans="1:15" ht="14.25" customHeight="1" x14ac:dyDescent="0.2">
      <c r="A21" s="105">
        <v>10</v>
      </c>
      <c r="B21" s="45"/>
      <c r="C21" s="263"/>
      <c r="D21" s="22"/>
      <c r="E21" s="114"/>
      <c r="F21" s="377"/>
      <c r="G21" s="182">
        <f t="shared" si="6"/>
        <v>0</v>
      </c>
      <c r="H21" s="77">
        <f t="shared" ca="1" si="1"/>
        <v>0</v>
      </c>
      <c r="I21" s="181">
        <f t="shared" si="3"/>
        <v>0</v>
      </c>
      <c r="J21" s="269"/>
      <c r="M21" s="221"/>
      <c r="O21" s="221"/>
    </row>
    <row r="22" spans="1:15" ht="14.25" customHeight="1" x14ac:dyDescent="0.2">
      <c r="A22" s="108"/>
      <c r="B22" s="25" t="s">
        <v>617</v>
      </c>
      <c r="C22" s="26"/>
      <c r="D22" s="24"/>
      <c r="E22" s="32"/>
      <c r="F22" s="378"/>
      <c r="G22" s="116"/>
      <c r="H22" s="79"/>
      <c r="I22" s="83"/>
      <c r="J22" s="71"/>
      <c r="M22" s="221"/>
      <c r="O22" s="221"/>
    </row>
    <row r="23" spans="1:15" ht="15.75" customHeight="1" x14ac:dyDescent="0.2">
      <c r="A23" s="262">
        <v>11</v>
      </c>
      <c r="B23" s="22" t="s">
        <v>893</v>
      </c>
      <c r="C23" s="22" t="str">
        <f ca="1">TRIM(Q!A213)</f>
        <v>0.700mm CU-Round</v>
      </c>
      <c r="D23" s="22" t="s">
        <v>45</v>
      </c>
      <c r="E23" s="113">
        <f ca="1">Q!B213</f>
        <v>48.97</v>
      </c>
      <c r="F23" s="376">
        <v>9.91</v>
      </c>
      <c r="G23" s="181">
        <f t="shared" ref="G23:G38" ca="1" si="7">E23*F23</f>
        <v>485.29269999999997</v>
      </c>
      <c r="H23" s="77">
        <f t="shared" ref="H23:H28" ca="1" si="8">G23/G$145</f>
        <v>0.11137344227010539</v>
      </c>
      <c r="I23" s="181">
        <f t="shared" ref="I23:I38" ca="1" si="9">E23*$C$7</f>
        <v>3574.81</v>
      </c>
      <c r="J23" s="269">
        <f ca="1">E23/3</f>
        <v>16.323333333333334</v>
      </c>
    </row>
    <row r="24" spans="1:15" ht="15.75" customHeight="1" x14ac:dyDescent="0.2">
      <c r="A24" s="105">
        <v>12</v>
      </c>
      <c r="B24" s="22" t="s">
        <v>569</v>
      </c>
      <c r="C24" s="46" t="str">
        <f ca="1">Q!A155</f>
        <v>203mm x 0.15 DDP SL</v>
      </c>
      <c r="D24" s="22" t="s">
        <v>45</v>
      </c>
      <c r="E24" s="113">
        <f ca="1">Q!B155</f>
        <v>0</v>
      </c>
      <c r="F24" s="376">
        <v>4.7</v>
      </c>
      <c r="G24" s="181">
        <f t="shared" ca="1" si="7"/>
        <v>0</v>
      </c>
      <c r="H24" s="77">
        <f t="shared" ca="1" si="8"/>
        <v>0</v>
      </c>
      <c r="I24" s="181">
        <f t="shared" ca="1" si="9"/>
        <v>0</v>
      </c>
      <c r="J24" s="269">
        <f t="shared" ref="J24:J27" ca="1" si="10">E24/3</f>
        <v>0</v>
      </c>
      <c r="M24" s="221"/>
      <c r="O24" s="221"/>
    </row>
    <row r="25" spans="1:15" ht="15" x14ac:dyDescent="0.2">
      <c r="A25" s="107">
        <v>13</v>
      </c>
      <c r="B25" s="22" t="s">
        <v>569</v>
      </c>
      <c r="C25" s="46" t="str">
        <f ca="1">Q!A156</f>
        <v>203mm x 0.25 DDP SL</v>
      </c>
      <c r="D25" s="22" t="s">
        <v>45</v>
      </c>
      <c r="E25" s="113">
        <v>2</v>
      </c>
      <c r="F25" s="376">
        <v>4.4800000000000004</v>
      </c>
      <c r="G25" s="181">
        <f t="shared" si="7"/>
        <v>8.9600000000000009</v>
      </c>
      <c r="H25" s="77">
        <f t="shared" ca="1" si="8"/>
        <v>2.0562972464661933E-3</v>
      </c>
      <c r="I25" s="181">
        <f t="shared" si="9"/>
        <v>146</v>
      </c>
      <c r="J25" s="269">
        <f t="shared" si="10"/>
        <v>0.66666666666666663</v>
      </c>
      <c r="M25" s="221"/>
      <c r="O25" s="221"/>
    </row>
    <row r="26" spans="1:15" ht="15" x14ac:dyDescent="0.2">
      <c r="A26" s="107">
        <v>14</v>
      </c>
      <c r="B26" s="22" t="s">
        <v>564</v>
      </c>
      <c r="C26" s="22" t="str">
        <f ca="1">IF(OR(Q!B155=0,Q!B156=0),IF(Q!C159=0,Q!A160,Q!A159))</f>
        <v>33 x 0.05 mm Strip</v>
      </c>
      <c r="D26" s="22" t="s">
        <v>45</v>
      </c>
      <c r="E26" s="114">
        <f ca="1">IF('Bill of Materials'!C26=Q!A159,Q!B159,Q!B160)</f>
        <v>11.058734114</v>
      </c>
      <c r="F26" s="376">
        <v>4.8899999999999997</v>
      </c>
      <c r="G26" s="181">
        <f t="shared" ca="1" si="7"/>
        <v>54.077209817459995</v>
      </c>
      <c r="H26" s="77">
        <f t="shared" ca="1" si="8"/>
        <v>1.2410582326363568E-2</v>
      </c>
      <c r="I26" s="181">
        <f t="shared" ca="1" si="9"/>
        <v>807.28759032200003</v>
      </c>
      <c r="J26" s="269">
        <f t="shared" ca="1" si="10"/>
        <v>3.6862447046666666</v>
      </c>
      <c r="M26" s="221"/>
      <c r="O26" s="221"/>
    </row>
    <row r="27" spans="1:15" ht="15" x14ac:dyDescent="0.2">
      <c r="A27" s="107">
        <v>15</v>
      </c>
      <c r="B27" s="22" t="s">
        <v>618</v>
      </c>
      <c r="C27" s="22" t="str">
        <f ca="1">Q!A176&amp;" x "&amp;Q!B176&amp;"mm "</f>
        <v xml:space="preserve">33 x 0.25mm </v>
      </c>
      <c r="D27" s="22" t="s">
        <v>45</v>
      </c>
      <c r="E27" s="114">
        <f ca="1">IF(E26=0,Q!B175,0)</f>
        <v>0</v>
      </c>
      <c r="F27" s="376">
        <v>6.26</v>
      </c>
      <c r="G27" s="181">
        <f t="shared" ca="1" si="7"/>
        <v>0</v>
      </c>
      <c r="H27" s="77">
        <f t="shared" ca="1" si="8"/>
        <v>0</v>
      </c>
      <c r="I27" s="181">
        <f t="shared" ca="1" si="9"/>
        <v>0</v>
      </c>
      <c r="J27" s="269">
        <f t="shared" ca="1" si="10"/>
        <v>0</v>
      </c>
      <c r="M27" s="221"/>
      <c r="O27" s="221"/>
    </row>
    <row r="28" spans="1:15" ht="15" x14ac:dyDescent="0.2">
      <c r="A28" s="107">
        <v>16</v>
      </c>
      <c r="B28" s="22" t="s">
        <v>619</v>
      </c>
      <c r="C28" s="22" t="str">
        <f ca="1">Q!B46&amp;"/"&amp;LEFT(Q!B47,2)&amp;IF(C5=0,""," "&amp;C5)&amp;" INHV"</f>
        <v>100/33 INHV</v>
      </c>
      <c r="D28" s="22" t="s">
        <v>46</v>
      </c>
      <c r="E28" s="384">
        <v>3</v>
      </c>
      <c r="F28" s="376">
        <v>40.299999999999997</v>
      </c>
      <c r="G28" s="181">
        <f t="shared" si="7"/>
        <v>120.89999999999999</v>
      </c>
      <c r="H28" s="77">
        <f t="shared" ca="1" si="8"/>
        <v>2.774624297966102E-2</v>
      </c>
      <c r="I28" s="181">
        <f t="shared" si="9"/>
        <v>219</v>
      </c>
      <c r="J28" s="269"/>
    </row>
    <row r="29" spans="1:15" ht="15" x14ac:dyDescent="0.2">
      <c r="A29" s="107">
        <v>17</v>
      </c>
      <c r="B29" s="46"/>
      <c r="C29" s="46"/>
      <c r="D29" s="22"/>
      <c r="E29" s="113"/>
      <c r="F29" s="376"/>
      <c r="G29" s="181"/>
      <c r="H29" s="77"/>
      <c r="I29" s="181"/>
      <c r="J29" s="269"/>
      <c r="M29" s="221"/>
      <c r="O29" s="221"/>
    </row>
    <row r="30" spans="1:15" ht="15" x14ac:dyDescent="0.2">
      <c r="A30" s="108"/>
      <c r="B30" s="25" t="s">
        <v>817</v>
      </c>
      <c r="C30" s="26"/>
      <c r="D30" s="24"/>
      <c r="E30" s="32"/>
      <c r="F30" s="378"/>
      <c r="G30" s="116"/>
      <c r="H30" s="79"/>
      <c r="I30" s="83"/>
      <c r="J30" s="71"/>
      <c r="M30" s="221"/>
      <c r="O30" s="221"/>
    </row>
    <row r="31" spans="1:15" ht="15" x14ac:dyDescent="0.2">
      <c r="A31" s="107">
        <v>18</v>
      </c>
      <c r="B31" s="46" t="s">
        <v>550</v>
      </c>
      <c r="C31" s="46" t="s">
        <v>552</v>
      </c>
      <c r="D31" s="22" t="s">
        <v>45</v>
      </c>
      <c r="E31" s="113">
        <f ca="1">IF(ISERROR(Q!M47+Q!N47),0,Q!M47+Q!N47)</f>
        <v>4</v>
      </c>
      <c r="F31" s="376">
        <v>13.13</v>
      </c>
      <c r="G31" s="181">
        <f t="shared" ca="1" si="7"/>
        <v>52.52</v>
      </c>
      <c r="H31" s="77">
        <f t="shared" ref="H31:H36" ca="1" si="11">G31/G$145</f>
        <v>1.2053206627723714E-2</v>
      </c>
      <c r="I31" s="181">
        <f t="shared" ca="1" si="9"/>
        <v>292</v>
      </c>
      <c r="J31" s="70"/>
      <c r="M31" s="221"/>
      <c r="O31" s="221"/>
    </row>
    <row r="32" spans="1:15" ht="15" x14ac:dyDescent="0.2">
      <c r="A32" s="107">
        <v>19</v>
      </c>
      <c r="B32" s="46" t="s">
        <v>551</v>
      </c>
      <c r="C32" s="46" t="s">
        <v>553</v>
      </c>
      <c r="D32" s="22" t="s">
        <v>45</v>
      </c>
      <c r="E32" s="113">
        <f ca="1">IF(ISERROR(Q!M48+Q!N48),0,Q!M48+Q!N48)</f>
        <v>0</v>
      </c>
      <c r="F32" s="376">
        <v>15.45</v>
      </c>
      <c r="G32" s="181">
        <f t="shared" ref="G32:G35" ca="1" si="12">E32*F32</f>
        <v>0</v>
      </c>
      <c r="H32" s="77">
        <f t="shared" ca="1" si="11"/>
        <v>0</v>
      </c>
      <c r="I32" s="181">
        <f t="shared" ref="I32:I35" ca="1" si="13">E32*$C$7</f>
        <v>0</v>
      </c>
      <c r="J32" s="70"/>
      <c r="M32" s="221"/>
      <c r="O32" s="221"/>
    </row>
    <row r="33" spans="1:15" ht="15" x14ac:dyDescent="0.2">
      <c r="A33" s="107">
        <v>20</v>
      </c>
      <c r="B33" s="46" t="s">
        <v>551</v>
      </c>
      <c r="C33" s="46" t="s">
        <v>614</v>
      </c>
      <c r="D33" s="22" t="s">
        <v>45</v>
      </c>
      <c r="E33" s="113">
        <f ca="1">IF(ISERROR(Q!M49+Q!N49),0,Q!M49+Q!N49)</f>
        <v>0</v>
      </c>
      <c r="F33" s="376">
        <v>7.65</v>
      </c>
      <c r="G33" s="181">
        <f t="shared" ca="1" si="12"/>
        <v>0</v>
      </c>
      <c r="H33" s="77">
        <f t="shared" ca="1" si="11"/>
        <v>0</v>
      </c>
      <c r="I33" s="181">
        <f t="shared" ca="1" si="13"/>
        <v>0</v>
      </c>
      <c r="J33" s="70"/>
    </row>
    <row r="34" spans="1:15" ht="15" x14ac:dyDescent="0.2">
      <c r="A34" s="107">
        <v>21</v>
      </c>
      <c r="B34" s="46" t="s">
        <v>819</v>
      </c>
      <c r="C34" s="270" t="str">
        <f ca="1">Q!B46&amp;"/"&amp;LEFT(Q!B47,2)&amp;IF(C5=0,""," "&amp;C5)&amp;" CUFX"</f>
        <v>100/33 CUFX</v>
      </c>
      <c r="D34" s="22" t="s">
        <v>46</v>
      </c>
      <c r="E34" s="113">
        <v>4</v>
      </c>
      <c r="F34" s="376">
        <v>4.5199999999999996</v>
      </c>
      <c r="G34" s="181">
        <f t="shared" si="12"/>
        <v>18.079999999999998</v>
      </c>
      <c r="H34" s="77">
        <f t="shared" ca="1" si="11"/>
        <v>4.1493140866192824E-3</v>
      </c>
      <c r="I34" s="181">
        <f t="shared" si="13"/>
        <v>292</v>
      </c>
      <c r="J34" s="70"/>
      <c r="M34" s="221"/>
      <c r="O34" s="221"/>
    </row>
    <row r="35" spans="1:15" ht="15" x14ac:dyDescent="0.2">
      <c r="A35" s="107">
        <v>22</v>
      </c>
      <c r="B35" s="22" t="s">
        <v>818</v>
      </c>
      <c r="C35" s="270" t="str">
        <f ca="1">Q!B46&amp;"/"&amp;LEFT(Q!B47,2)&amp;IF(C5=0,""," "&amp;C5)&amp;" TMBC &amp; TMAS"</f>
        <v>100/33 TMBC &amp; TMAS</v>
      </c>
      <c r="D35" s="22" t="s">
        <v>46</v>
      </c>
      <c r="E35" s="113">
        <v>1</v>
      </c>
      <c r="F35" s="376">
        <v>28.31</v>
      </c>
      <c r="G35" s="181">
        <f t="shared" si="12"/>
        <v>28.31</v>
      </c>
      <c r="H35" s="77">
        <f t="shared" ca="1" si="11"/>
        <v>6.4970731079752146E-3</v>
      </c>
      <c r="I35" s="181">
        <f t="shared" si="13"/>
        <v>73</v>
      </c>
      <c r="J35" s="70"/>
      <c r="M35" s="221"/>
    </row>
    <row r="36" spans="1:15" ht="15" x14ac:dyDescent="0.2">
      <c r="A36" s="107">
        <v>23</v>
      </c>
      <c r="B36" s="22" t="s">
        <v>835</v>
      </c>
      <c r="C36" s="22" t="str">
        <f ca="1">Q!B46&amp;"/"&amp;LEFT(Q!B47,2)&amp;IF(C5=0,""," "&amp;C5)&amp;" INBC &amp; INAS"</f>
        <v>100/33 INBC &amp; INAS</v>
      </c>
      <c r="D36" s="22" t="s">
        <v>46</v>
      </c>
      <c r="E36" s="113">
        <v>1</v>
      </c>
      <c r="F36" s="376">
        <v>100.3</v>
      </c>
      <c r="G36" s="181">
        <f t="shared" ref="G36" si="14">E36*F36</f>
        <v>100.3</v>
      </c>
      <c r="H36" s="77">
        <f t="shared" ca="1" si="11"/>
        <v>2.3018595292473121E-2</v>
      </c>
      <c r="I36" s="181">
        <f t="shared" ref="I36" si="15">E36*$C$7</f>
        <v>73</v>
      </c>
      <c r="J36" s="70"/>
      <c r="M36" s="221"/>
    </row>
    <row r="37" spans="1:15" ht="15" x14ac:dyDescent="0.2">
      <c r="A37" s="107">
        <v>24</v>
      </c>
      <c r="B37" s="399" t="s">
        <v>985</v>
      </c>
      <c r="C37" s="400"/>
      <c r="D37" s="22" t="s">
        <v>46</v>
      </c>
      <c r="E37" s="113">
        <v>1</v>
      </c>
      <c r="F37" s="376">
        <v>20</v>
      </c>
      <c r="G37" s="181">
        <f t="shared" ref="G37" si="16">E37*F37</f>
        <v>20</v>
      </c>
      <c r="H37" s="77">
        <f t="shared" ref="H37" ca="1" si="17">G37/G$145</f>
        <v>4.5899492108620382E-3</v>
      </c>
      <c r="I37" s="181">
        <f t="shared" ref="I37" si="18">E37*$C$7</f>
        <v>73</v>
      </c>
      <c r="J37" s="70"/>
      <c r="M37" s="221"/>
    </row>
    <row r="38" spans="1:15" ht="15" x14ac:dyDescent="0.2">
      <c r="A38" s="107">
        <v>24</v>
      </c>
      <c r="B38" s="22" t="s">
        <v>984</v>
      </c>
      <c r="C38" s="22"/>
      <c r="D38" s="22" t="s">
        <v>45</v>
      </c>
      <c r="E38" s="113">
        <v>2</v>
      </c>
      <c r="F38" s="376">
        <v>11.32</v>
      </c>
      <c r="G38" s="181">
        <f t="shared" si="7"/>
        <v>22.64</v>
      </c>
      <c r="H38" s="77">
        <f ca="1">G38/G$145</f>
        <v>5.1958225066958278E-3</v>
      </c>
      <c r="I38" s="181">
        <f t="shared" si="9"/>
        <v>146</v>
      </c>
      <c r="J38" s="70"/>
    </row>
    <row r="39" spans="1:15" ht="12.75" customHeight="1" x14ac:dyDescent="0.2">
      <c r="A39" s="106"/>
      <c r="B39" s="89" t="s">
        <v>231</v>
      </c>
      <c r="C39" s="90"/>
      <c r="D39" s="85" t="s">
        <v>45</v>
      </c>
      <c r="E39" s="246">
        <f ca="1">Q!C195</f>
        <v>338.1</v>
      </c>
      <c r="F39" s="379">
        <v>3.97</v>
      </c>
      <c r="G39" s="183">
        <f t="shared" ref="G39:G50" ca="1" si="19">E39*F39</f>
        <v>1342.2570000000001</v>
      </c>
      <c r="H39" s="279">
        <f t="shared" ref="H39:H48" ca="1" si="20">G39/G$145</f>
        <v>0.30804457289620235</v>
      </c>
      <c r="I39" s="183">
        <f t="shared" ref="I39:I51" ca="1" si="21">E39*C$7</f>
        <v>24681.300000000003</v>
      </c>
      <c r="J39" s="88"/>
      <c r="M39" s="221"/>
    </row>
    <row r="40" spans="1:15" ht="15" x14ac:dyDescent="0.2">
      <c r="A40" s="105">
        <v>21</v>
      </c>
      <c r="B40" s="22" t="str">
        <f ca="1">IF(E40=0,0,Q!B$197)</f>
        <v>23ZDKH85</v>
      </c>
      <c r="C40" s="22" t="str">
        <f ca="1">IF(E40=0,0,Q!A186&amp;"mm ")</f>
        <v xml:space="preserve">130mm </v>
      </c>
      <c r="D40" s="22" t="s">
        <v>45</v>
      </c>
      <c r="E40" s="113">
        <f ca="1">IF(Q!C186=0,E39,Q!C186)</f>
        <v>156.80000000000001</v>
      </c>
      <c r="F40" s="376"/>
      <c r="G40" s="181">
        <f t="shared" ca="1" si="19"/>
        <v>0</v>
      </c>
      <c r="H40" s="77">
        <f t="shared" ca="1" si="20"/>
        <v>0</v>
      </c>
      <c r="I40" s="181">
        <f t="shared" ca="1" si="21"/>
        <v>11446.400000000001</v>
      </c>
      <c r="J40" s="70"/>
    </row>
    <row r="41" spans="1:15" ht="15" x14ac:dyDescent="0.2">
      <c r="A41" s="105">
        <v>22</v>
      </c>
      <c r="B41" s="22" t="str">
        <f ca="1">IF(E41=0,0,Q!B$197)</f>
        <v>23ZDKH85</v>
      </c>
      <c r="C41" s="22" t="str">
        <f ca="1">IF(E41=0,0,Q!A187&amp;"mm ")</f>
        <v xml:space="preserve">120mm </v>
      </c>
      <c r="D41" s="22" t="s">
        <v>45</v>
      </c>
      <c r="E41" s="113">
        <f ca="1">Q!C187</f>
        <v>99.2</v>
      </c>
      <c r="F41" s="376">
        <v>0</v>
      </c>
      <c r="G41" s="181">
        <f t="shared" ca="1" si="19"/>
        <v>0</v>
      </c>
      <c r="H41" s="77">
        <f t="shared" ca="1" si="20"/>
        <v>0</v>
      </c>
      <c r="I41" s="181">
        <f t="shared" ca="1" si="21"/>
        <v>7241.6</v>
      </c>
      <c r="J41" s="70"/>
      <c r="L41" s="332" t="s">
        <v>727</v>
      </c>
    </row>
    <row r="42" spans="1:15" ht="15" x14ac:dyDescent="0.2">
      <c r="A42" s="105">
        <v>23</v>
      </c>
      <c r="B42" s="22" t="str">
        <f ca="1">IF(E42=0,0,Q!B$197)</f>
        <v>23ZDKH85</v>
      </c>
      <c r="C42" s="22" t="str">
        <f ca="1">IF(E42=0,0,Q!A188&amp;"mm ")</f>
        <v xml:space="preserve">100mm </v>
      </c>
      <c r="D42" s="22" t="s">
        <v>45</v>
      </c>
      <c r="E42" s="113">
        <f ca="1">Q!C188</f>
        <v>52.5</v>
      </c>
      <c r="F42" s="376">
        <v>0</v>
      </c>
      <c r="G42" s="181">
        <f t="shared" ca="1" si="19"/>
        <v>0</v>
      </c>
      <c r="H42" s="77">
        <f t="shared" ca="1" si="20"/>
        <v>0</v>
      </c>
      <c r="I42" s="181">
        <f t="shared" ca="1" si="21"/>
        <v>3832.5</v>
      </c>
      <c r="J42" s="70"/>
      <c r="L42" s="333" t="e">
        <f ca="1">VLOOKUP(M42,'Radiator Choise'!B2:C75,2,FALSE)</f>
        <v>#N/A</v>
      </c>
      <c r="M42" t="str">
        <f ca="1">Q!B46&amp;"/"&amp;LEFT(Q!B47,2)&amp;"/"&amp;Q!B48&amp;" EU "&amp;N42</f>
        <v>100/33/400 EU CU</v>
      </c>
      <c r="N42" t="str">
        <f ca="1">LEFT(Q!A206,2)</f>
        <v>CU</v>
      </c>
    </row>
    <row r="43" spans="1:15" ht="15" x14ac:dyDescent="0.2">
      <c r="A43" s="105">
        <v>24</v>
      </c>
      <c r="B43" s="22" t="str">
        <f ca="1">IF(E43=0,0,Q!B$197)</f>
        <v>23ZDKH85</v>
      </c>
      <c r="C43" s="22" t="str">
        <f ca="1">IF(E43=0,0,Q!A189&amp;"mm ")</f>
        <v xml:space="preserve">70mm </v>
      </c>
      <c r="D43" s="22" t="s">
        <v>45</v>
      </c>
      <c r="E43" s="113">
        <f ca="1">Q!C189</f>
        <v>29.6</v>
      </c>
      <c r="F43" s="376">
        <v>0</v>
      </c>
      <c r="G43" s="181">
        <f t="shared" ca="1" si="19"/>
        <v>0</v>
      </c>
      <c r="H43" s="77">
        <f t="shared" ca="1" si="20"/>
        <v>0</v>
      </c>
      <c r="I43" s="181">
        <f t="shared" ca="1" si="21"/>
        <v>2160.8000000000002</v>
      </c>
      <c r="J43" s="70"/>
    </row>
    <row r="44" spans="1:15" ht="15" x14ac:dyDescent="0.2">
      <c r="A44" s="105">
        <v>25</v>
      </c>
      <c r="B44" s="22">
        <f ca="1">IF(E44=0,0,Q!B$197)</f>
        <v>0</v>
      </c>
      <c r="C44" s="22">
        <f ca="1">IF(E44=0,0,Q!A190&amp;"mm ")</f>
        <v>0</v>
      </c>
      <c r="D44" s="22" t="s">
        <v>45</v>
      </c>
      <c r="E44" s="113">
        <f ca="1">Q!C190</f>
        <v>0</v>
      </c>
      <c r="F44" s="376">
        <v>0</v>
      </c>
      <c r="G44" s="181">
        <f t="shared" ca="1" si="19"/>
        <v>0</v>
      </c>
      <c r="H44" s="77">
        <f t="shared" ca="1" si="20"/>
        <v>0</v>
      </c>
      <c r="I44" s="181">
        <f t="shared" ca="1" si="21"/>
        <v>0</v>
      </c>
      <c r="J44" s="70"/>
      <c r="L44" t="s">
        <v>728</v>
      </c>
    </row>
    <row r="45" spans="1:15" ht="15" x14ac:dyDescent="0.2">
      <c r="A45" s="105">
        <v>26</v>
      </c>
      <c r="B45" s="22">
        <f ca="1">IF(E45=0,0,Q!B$197)</f>
        <v>0</v>
      </c>
      <c r="C45" s="22">
        <f ca="1">IF(E45=0,0,Q!A191&amp;"mm ")</f>
        <v>0</v>
      </c>
      <c r="D45" s="22" t="s">
        <v>45</v>
      </c>
      <c r="E45" s="113">
        <f ca="1">Q!C191</f>
        <v>0</v>
      </c>
      <c r="F45" s="376">
        <v>0</v>
      </c>
      <c r="G45" s="181">
        <f t="shared" ca="1" si="19"/>
        <v>0</v>
      </c>
      <c r="H45" s="77">
        <f t="shared" ca="1" si="20"/>
        <v>0</v>
      </c>
      <c r="I45" s="181">
        <f t="shared" ca="1" si="21"/>
        <v>0</v>
      </c>
      <c r="J45" s="70"/>
      <c r="L45" s="333"/>
    </row>
    <row r="46" spans="1:15" ht="15" x14ac:dyDescent="0.2">
      <c r="A46" s="105">
        <v>27</v>
      </c>
      <c r="B46" s="22">
        <f ca="1">IF(E46=0,0,Q!B$197)</f>
        <v>0</v>
      </c>
      <c r="C46" s="22">
        <f ca="1">IF(E46=0,0,Q!A192&amp;"mm ")</f>
        <v>0</v>
      </c>
      <c r="D46" s="22" t="s">
        <v>45</v>
      </c>
      <c r="E46" s="113">
        <f ca="1">Q!C192</f>
        <v>0</v>
      </c>
      <c r="F46" s="376">
        <v>0</v>
      </c>
      <c r="G46" s="181">
        <f t="shared" ca="1" si="19"/>
        <v>0</v>
      </c>
      <c r="H46" s="77">
        <f t="shared" ca="1" si="20"/>
        <v>0</v>
      </c>
      <c r="I46" s="181">
        <f t="shared" ca="1" si="21"/>
        <v>0</v>
      </c>
      <c r="J46" s="70"/>
    </row>
    <row r="47" spans="1:15" ht="15" x14ac:dyDescent="0.2">
      <c r="A47" s="105">
        <v>28</v>
      </c>
      <c r="B47" s="22">
        <f ca="1">IF(E47=0,0,Q!B$197)</f>
        <v>0</v>
      </c>
      <c r="C47" s="22">
        <f ca="1">IF(E47=0,0,Q!A193&amp;"mm ")</f>
        <v>0</v>
      </c>
      <c r="D47" s="22" t="s">
        <v>45</v>
      </c>
      <c r="E47" s="113">
        <f ca="1">Q!C193</f>
        <v>0</v>
      </c>
      <c r="F47" s="376">
        <v>0</v>
      </c>
      <c r="G47" s="181">
        <f t="shared" ca="1" si="19"/>
        <v>0</v>
      </c>
      <c r="H47" s="77">
        <f t="shared" ca="1" si="20"/>
        <v>0</v>
      </c>
      <c r="I47" s="181">
        <f t="shared" ca="1" si="21"/>
        <v>0</v>
      </c>
      <c r="J47" s="70"/>
    </row>
    <row r="48" spans="1:15" ht="15" x14ac:dyDescent="0.2">
      <c r="A48" s="105">
        <v>29</v>
      </c>
      <c r="B48" s="22">
        <f ca="1">IF(E48=0,0,Q!B$197)</f>
        <v>0</v>
      </c>
      <c r="C48" s="22">
        <f ca="1">IF(E48=0,0,Q!A194&amp;"mm ")</f>
        <v>0</v>
      </c>
      <c r="D48" s="22" t="s">
        <v>45</v>
      </c>
      <c r="E48" s="113">
        <f ca="1">Q!C194</f>
        <v>0</v>
      </c>
      <c r="F48" s="376">
        <v>0</v>
      </c>
      <c r="G48" s="181">
        <f ca="1">E48*F48</f>
        <v>0</v>
      </c>
      <c r="H48" s="77">
        <f t="shared" ca="1" si="20"/>
        <v>0</v>
      </c>
      <c r="I48" s="181">
        <f t="shared" ca="1" si="21"/>
        <v>0</v>
      </c>
      <c r="J48" s="70"/>
    </row>
    <row r="49" spans="1:13" ht="15" x14ac:dyDescent="0.2">
      <c r="A49" s="268"/>
      <c r="B49" s="89" t="s">
        <v>233</v>
      </c>
      <c r="C49" s="271"/>
      <c r="D49" s="264"/>
      <c r="E49" s="86" t="s">
        <v>169</v>
      </c>
      <c r="F49" s="380"/>
      <c r="G49" s="265"/>
      <c r="H49" s="266"/>
      <c r="I49" s="265"/>
      <c r="J49" s="267"/>
      <c r="L49" s="1" t="s">
        <v>677</v>
      </c>
    </row>
    <row r="50" spans="1:13" ht="12.75" customHeight="1" x14ac:dyDescent="0.2">
      <c r="A50" s="277">
        <v>30</v>
      </c>
      <c r="B50" s="401" t="s">
        <v>686</v>
      </c>
      <c r="C50" s="402"/>
      <c r="D50" s="272" t="s">
        <v>45</v>
      </c>
      <c r="E50" s="292">
        <f ca="1">Q!B228</f>
        <v>41</v>
      </c>
      <c r="F50" s="381">
        <v>2.64</v>
      </c>
      <c r="G50" s="293">
        <f t="shared" ca="1" si="19"/>
        <v>108.24000000000001</v>
      </c>
      <c r="H50" s="294">
        <f ca="1">G50/G$145</f>
        <v>2.4840805129185354E-2</v>
      </c>
      <c r="I50" s="293">
        <f t="shared" ca="1" si="21"/>
        <v>2993</v>
      </c>
      <c r="J50" s="274"/>
      <c r="L50" s="331" t="s">
        <v>654</v>
      </c>
      <c r="M50" s="295"/>
    </row>
    <row r="51" spans="1:13" ht="12.75" customHeight="1" x14ac:dyDescent="0.2">
      <c r="A51" s="278">
        <v>31</v>
      </c>
      <c r="B51" s="22" t="str">
        <f ca="1">IF(Q!B233&gt;0,Q!A233,IF(Q!B234&gt;0,Q!A234,""))</f>
        <v>Fin Type Radiators</v>
      </c>
      <c r="C51" s="22" t="str">
        <f ca="1">IF(Q!E37="Rads",Q!B282&amp;"mm, "&amp;Q!B281&amp;" element/rad, "&amp;Q!B280&amp;"rads",IF(L45="",IF(ISERROR(L42),Q!B46&amp;"/"&amp;LEFT(Q!B47,2)&amp;"/"&amp;Q!B48&amp;" Tank",L42),L45))</f>
        <v>100/33/400 Tank</v>
      </c>
      <c r="D51" s="22" t="s">
        <v>45</v>
      </c>
      <c r="E51" s="81">
        <f ca="1">(Q!B236+Q!B231+20-Q!B228)*1.1+30</f>
        <v>197.20000000000002</v>
      </c>
      <c r="F51" s="376">
        <v>3.48</v>
      </c>
      <c r="G51" s="276">
        <f ca="1">E51*F51</f>
        <v>686.25600000000009</v>
      </c>
      <c r="H51" s="77">
        <f ca="1">G51/G$145</f>
        <v>0.15749400928246696</v>
      </c>
      <c r="I51" s="275">
        <f t="shared" ca="1" si="21"/>
        <v>14395.6</v>
      </c>
      <c r="J51" s="70"/>
      <c r="L51" s="272" t="s">
        <v>655</v>
      </c>
      <c r="M51" s="295"/>
    </row>
    <row r="52" spans="1:13" ht="12.75" customHeight="1" x14ac:dyDescent="0.2">
      <c r="A52" s="277">
        <v>32</v>
      </c>
      <c r="B52" s="399" t="s">
        <v>845</v>
      </c>
      <c r="C52" s="400"/>
      <c r="D52" s="22" t="s">
        <v>46</v>
      </c>
      <c r="E52" s="113"/>
      <c r="F52" s="376"/>
      <c r="G52" s="276">
        <f>E52*F52</f>
        <v>0</v>
      </c>
      <c r="H52" s="77">
        <f ca="1">G52/G$145</f>
        <v>0</v>
      </c>
      <c r="I52" s="275">
        <f t="shared" ref="I52" si="22">E52*C$7</f>
        <v>0</v>
      </c>
      <c r="J52" s="70"/>
      <c r="L52" s="272"/>
      <c r="M52" s="295"/>
    </row>
    <row r="53" spans="1:13" ht="12.75" customHeight="1" x14ac:dyDescent="0.2">
      <c r="A53" s="278">
        <v>33</v>
      </c>
      <c r="B53" s="22"/>
      <c r="C53" s="22"/>
      <c r="D53" s="22"/>
      <c r="E53" s="81"/>
      <c r="F53" s="376"/>
      <c r="G53" s="113"/>
      <c r="H53" s="77"/>
      <c r="I53" s="81"/>
      <c r="J53" s="70"/>
      <c r="L53" s="331" t="s">
        <v>713</v>
      </c>
      <c r="M53" s="295"/>
    </row>
    <row r="54" spans="1:13" ht="12.75" customHeight="1" x14ac:dyDescent="0.2">
      <c r="A54" s="106"/>
      <c r="B54" s="89" t="str">
        <f>Q!A310</f>
        <v>ACCESSORIES</v>
      </c>
      <c r="C54" s="90"/>
      <c r="D54" s="85"/>
      <c r="E54" s="86" t="s">
        <v>169</v>
      </c>
      <c r="F54" s="382"/>
      <c r="G54" s="115"/>
      <c r="H54" s="87"/>
      <c r="I54" s="84"/>
      <c r="J54" s="88"/>
    </row>
    <row r="55" spans="1:13" ht="15" x14ac:dyDescent="0.2">
      <c r="A55" s="108"/>
      <c r="B55" s="25" t="str">
        <f>Q!A311</f>
        <v>HV Bushings</v>
      </c>
      <c r="C55" s="26"/>
      <c r="D55" s="24"/>
      <c r="E55" s="32"/>
      <c r="F55" s="378"/>
      <c r="G55" s="116"/>
      <c r="H55" s="79"/>
      <c r="I55" s="83"/>
      <c r="J55" s="71"/>
    </row>
    <row r="56" spans="1:13" ht="15" x14ac:dyDescent="0.2">
      <c r="A56" s="105">
        <v>33</v>
      </c>
      <c r="B56" s="399" t="str">
        <f>IF(L56=0,Q!B311,L56)</f>
        <v>30 NF 250 CD = 900 mm</v>
      </c>
      <c r="C56" s="400"/>
      <c r="D56" s="22" t="s">
        <v>46</v>
      </c>
      <c r="E56" s="81">
        <f ca="1">IF(M56=0,Q!F311,M56)</f>
        <v>3</v>
      </c>
      <c r="F56" s="376">
        <v>44.21</v>
      </c>
      <c r="G56" s="113">
        <f t="shared" ref="G56:G102" ca="1" si="23">IF(ISERROR(F56),0,F56*E56)</f>
        <v>132.63</v>
      </c>
      <c r="H56" s="77">
        <f t="shared" ref="H56:H70" ca="1" si="24">G56/G$145</f>
        <v>3.0438248191831607E-2</v>
      </c>
      <c r="I56" s="81">
        <f ca="1">E56*C$7</f>
        <v>219</v>
      </c>
      <c r="J56" s="70"/>
      <c r="L56" s="295" t="s">
        <v>692</v>
      </c>
      <c r="M56" s="295"/>
    </row>
    <row r="57" spans="1:13" ht="15" x14ac:dyDescent="0.2">
      <c r="A57" s="105">
        <v>34</v>
      </c>
      <c r="B57" s="399" t="s">
        <v>836</v>
      </c>
      <c r="C57" s="400"/>
      <c r="D57" s="22" t="s">
        <v>46</v>
      </c>
      <c r="E57" s="81">
        <v>3</v>
      </c>
      <c r="F57" s="376">
        <v>5</v>
      </c>
      <c r="G57" s="113">
        <f>E57*F57</f>
        <v>15</v>
      </c>
      <c r="H57" s="77">
        <f t="shared" ca="1" si="24"/>
        <v>3.4424619081465289E-3</v>
      </c>
      <c r="I57" s="81">
        <f t="shared" ref="I57:I102" si="25">E57*C$7</f>
        <v>219</v>
      </c>
      <c r="J57" s="70"/>
    </row>
    <row r="58" spans="1:13" ht="15" x14ac:dyDescent="0.2">
      <c r="A58" s="108"/>
      <c r="B58" s="25" t="str">
        <f>Q!A330</f>
        <v>LV Bushings</v>
      </c>
      <c r="C58" s="26"/>
      <c r="D58" s="24"/>
      <c r="E58" s="32"/>
      <c r="F58" s="378"/>
      <c r="G58" s="116">
        <f t="shared" si="23"/>
        <v>0</v>
      </c>
      <c r="H58" s="79">
        <f t="shared" ca="1" si="24"/>
        <v>0</v>
      </c>
      <c r="I58" s="83"/>
      <c r="J58" s="71"/>
    </row>
    <row r="59" spans="1:13" ht="15" x14ac:dyDescent="0.2">
      <c r="A59" s="105">
        <v>35</v>
      </c>
      <c r="B59" s="399" t="str">
        <f>IF(L59=0,Q!B330,L59)</f>
        <v>EN 250</v>
      </c>
      <c r="C59" s="400"/>
      <c r="D59" s="22" t="s">
        <v>46</v>
      </c>
      <c r="E59" s="81">
        <f ca="1">IF(M59=0,Q!F330,M59)</f>
        <v>4</v>
      </c>
      <c r="F59" s="376">
        <v>16.77</v>
      </c>
      <c r="G59" s="113">
        <f t="shared" ca="1" si="23"/>
        <v>67.08</v>
      </c>
      <c r="H59" s="77">
        <f t="shared" ca="1" si="24"/>
        <v>1.5394689653231276E-2</v>
      </c>
      <c r="I59" s="81">
        <f t="shared" ca="1" si="25"/>
        <v>292</v>
      </c>
      <c r="J59" s="70"/>
      <c r="L59" s="295" t="s">
        <v>566</v>
      </c>
      <c r="M59" s="295"/>
    </row>
    <row r="60" spans="1:13" ht="15" x14ac:dyDescent="0.2">
      <c r="A60" s="105">
        <v>36</v>
      </c>
      <c r="B60" s="399" t="s">
        <v>849</v>
      </c>
      <c r="C60" s="400"/>
      <c r="D60" s="22" t="s">
        <v>46</v>
      </c>
      <c r="E60" s="81">
        <v>4</v>
      </c>
      <c r="F60" s="376">
        <v>8</v>
      </c>
      <c r="G60" s="113">
        <f>E60*F60</f>
        <v>32</v>
      </c>
      <c r="H60" s="77">
        <f t="shared" ca="1" si="24"/>
        <v>7.3439187373792614E-3</v>
      </c>
      <c r="I60" s="81">
        <f t="shared" si="25"/>
        <v>292</v>
      </c>
      <c r="J60" s="70"/>
    </row>
    <row r="61" spans="1:13" ht="15" x14ac:dyDescent="0.2">
      <c r="A61" s="108"/>
      <c r="B61" s="25" t="str">
        <f>Q!A348</f>
        <v>Tap selector</v>
      </c>
      <c r="C61" s="26"/>
      <c r="D61" s="24"/>
      <c r="E61" s="32"/>
      <c r="F61" s="378"/>
      <c r="G61" s="116">
        <f t="shared" si="23"/>
        <v>0</v>
      </c>
      <c r="H61" s="79">
        <f t="shared" ca="1" si="24"/>
        <v>0</v>
      </c>
      <c r="I61" s="83"/>
      <c r="J61" s="71"/>
    </row>
    <row r="62" spans="1:13" ht="15" customHeight="1" x14ac:dyDescent="0.2">
      <c r="A62" s="105">
        <v>37</v>
      </c>
      <c r="B62" s="399" t="str">
        <f ca="1">IF(L62=0,Q!B348,L62)</f>
        <v>HR 7A3.335 (30kV 30A 100mm 5 Pos)</v>
      </c>
      <c r="C62" s="400"/>
      <c r="D62" s="22" t="s">
        <v>46</v>
      </c>
      <c r="E62" s="81">
        <f ca="1">IF(ISERROR(B62),0,1)</f>
        <v>1</v>
      </c>
      <c r="F62" s="376">
        <v>48.85</v>
      </c>
      <c r="G62" s="113">
        <f t="shared" ca="1" si="23"/>
        <v>48.85</v>
      </c>
      <c r="H62" s="77">
        <f t="shared" ca="1" si="24"/>
        <v>1.1210950947530529E-2</v>
      </c>
      <c r="I62" s="81">
        <f t="shared" ca="1" si="25"/>
        <v>73</v>
      </c>
      <c r="J62" s="70"/>
      <c r="L62" s="359"/>
      <c r="M62" s="360"/>
    </row>
    <row r="63" spans="1:13" ht="15" customHeight="1" x14ac:dyDescent="0.2">
      <c r="A63" s="105">
        <v>38</v>
      </c>
      <c r="B63" s="399"/>
      <c r="C63" s="400"/>
      <c r="D63" s="22"/>
      <c r="E63" s="82"/>
      <c r="F63" s="377"/>
      <c r="G63" s="114"/>
      <c r="H63" s="78"/>
      <c r="I63" s="81"/>
      <c r="J63" s="70"/>
      <c r="L63" s="361"/>
      <c r="M63" s="361"/>
    </row>
    <row r="64" spans="1:13" ht="15" x14ac:dyDescent="0.2">
      <c r="A64" s="108"/>
      <c r="B64" s="25" t="str">
        <f>Q!A363</f>
        <v>Valves</v>
      </c>
      <c r="C64" s="26"/>
      <c r="D64" s="24"/>
      <c r="E64" s="32"/>
      <c r="F64" s="378"/>
      <c r="G64" s="116">
        <f t="shared" si="23"/>
        <v>0</v>
      </c>
      <c r="H64" s="79">
        <f t="shared" ca="1" si="24"/>
        <v>0</v>
      </c>
      <c r="I64" s="83"/>
      <c r="J64" s="71"/>
    </row>
    <row r="65" spans="1:10" ht="15" x14ac:dyDescent="0.2">
      <c r="A65" s="105">
        <v>39</v>
      </c>
      <c r="B65" s="399" t="str">
        <f>Q!A364</f>
        <v>PRV T-10K1 1R"</v>
      </c>
      <c r="C65" s="400"/>
      <c r="D65" s="22" t="s">
        <v>46</v>
      </c>
      <c r="E65" s="81">
        <v>1</v>
      </c>
      <c r="F65" s="376">
        <v>9.19</v>
      </c>
      <c r="G65" s="113">
        <f t="shared" si="23"/>
        <v>9.19</v>
      </c>
      <c r="H65" s="77">
        <f t="shared" ca="1" si="24"/>
        <v>2.1090816623911064E-3</v>
      </c>
      <c r="I65" s="81">
        <f t="shared" si="25"/>
        <v>73</v>
      </c>
      <c r="J65" s="70"/>
    </row>
    <row r="66" spans="1:10" ht="15" x14ac:dyDescent="0.2">
      <c r="A66" s="105">
        <v>40</v>
      </c>
      <c r="B66" s="399" t="str">
        <f>Q!A365</f>
        <v>PRV T-50 0.4 BAR</v>
      </c>
      <c r="C66" s="400"/>
      <c r="D66" s="22" t="s">
        <v>46</v>
      </c>
      <c r="E66" s="81"/>
      <c r="F66" s="376"/>
      <c r="G66" s="113">
        <f t="shared" si="23"/>
        <v>0</v>
      </c>
      <c r="H66" s="77">
        <f t="shared" ca="1" si="24"/>
        <v>0</v>
      </c>
      <c r="I66" s="81">
        <f>E66*C$7</f>
        <v>0</v>
      </c>
      <c r="J66" s="70"/>
    </row>
    <row r="67" spans="1:10" ht="15" x14ac:dyDescent="0.2">
      <c r="A67" s="105">
        <v>41</v>
      </c>
      <c r="B67" s="399" t="str">
        <f ca="1">Q!A366</f>
        <v>DRAIN VALVE NW 22</v>
      </c>
      <c r="C67" s="400"/>
      <c r="D67" s="22" t="s">
        <v>46</v>
      </c>
      <c r="E67" s="81">
        <v>1</v>
      </c>
      <c r="F67" s="376">
        <v>17.149999999999999</v>
      </c>
      <c r="G67" s="113">
        <f t="shared" si="23"/>
        <v>17.149999999999999</v>
      </c>
      <c r="H67" s="77">
        <f t="shared" ca="1" si="24"/>
        <v>3.9358814483141978E-3</v>
      </c>
      <c r="I67" s="81">
        <f>E67*C$7</f>
        <v>73</v>
      </c>
      <c r="J67" s="70"/>
    </row>
    <row r="68" spans="1:10" ht="15" x14ac:dyDescent="0.2">
      <c r="A68" s="105">
        <v>42</v>
      </c>
      <c r="B68" s="399" t="str">
        <f>Q!A367</f>
        <v>AIR RELEASE PLUG</v>
      </c>
      <c r="C68" s="400"/>
      <c r="D68" s="22" t="s">
        <v>46</v>
      </c>
      <c r="E68" s="81"/>
      <c r="F68" s="376"/>
      <c r="G68" s="113">
        <f t="shared" si="23"/>
        <v>0</v>
      </c>
      <c r="H68" s="77">
        <f t="shared" ca="1" si="24"/>
        <v>0</v>
      </c>
      <c r="I68" s="81">
        <f>E68*C$7</f>
        <v>0</v>
      </c>
      <c r="J68" s="70"/>
    </row>
    <row r="69" spans="1:10" ht="13.9" customHeight="1" x14ac:dyDescent="0.2">
      <c r="A69" s="105">
        <v>43</v>
      </c>
      <c r="B69" s="399" t="str">
        <f>Q!A368</f>
        <v>ARES DIN25 DOUBLE FLANGE GATE VALVE</v>
      </c>
      <c r="C69" s="400"/>
      <c r="D69" s="22" t="s">
        <v>46</v>
      </c>
      <c r="E69" s="81"/>
      <c r="F69" s="376"/>
      <c r="G69" s="113">
        <f t="shared" si="23"/>
        <v>0</v>
      </c>
      <c r="H69" s="77">
        <f t="shared" ca="1" si="24"/>
        <v>0</v>
      </c>
      <c r="I69" s="81">
        <f t="shared" si="25"/>
        <v>0</v>
      </c>
      <c r="J69" s="70"/>
    </row>
    <row r="70" spans="1:10" ht="15" customHeight="1" x14ac:dyDescent="0.2">
      <c r="A70" s="105">
        <v>44</v>
      </c>
      <c r="B70" s="399" t="str">
        <f>Q!A369</f>
        <v>SINGLE FLANGE BALL VALVE 1" NW25S-SS</v>
      </c>
      <c r="C70" s="400"/>
      <c r="D70" s="22" t="s">
        <v>46</v>
      </c>
      <c r="E70" s="81"/>
      <c r="F70" s="376"/>
      <c r="G70" s="113">
        <f t="shared" si="23"/>
        <v>0</v>
      </c>
      <c r="H70" s="77">
        <f t="shared" ca="1" si="24"/>
        <v>0</v>
      </c>
      <c r="I70" s="81">
        <f t="shared" si="25"/>
        <v>0</v>
      </c>
      <c r="J70" s="70"/>
    </row>
    <row r="71" spans="1:10" ht="13.9" customHeight="1" x14ac:dyDescent="0.2">
      <c r="A71" s="105">
        <v>45</v>
      </c>
      <c r="B71" s="399" t="str">
        <f>Q!A370</f>
        <v>THROTTLE VALVE FOR RADIATOR NW80 FORMB</v>
      </c>
      <c r="C71" s="400"/>
      <c r="D71" s="22" t="s">
        <v>46</v>
      </c>
      <c r="E71" s="81">
        <f ca="1">IF(Q!B37=Q!B43,2*Q!B280,0)</f>
        <v>0</v>
      </c>
      <c r="F71" s="376"/>
      <c r="G71" s="113">
        <f t="shared" ref="G71:G77" ca="1" si="26">IF(ISERROR(F71),0,F71*E71)</f>
        <v>0</v>
      </c>
      <c r="H71" s="77">
        <f t="shared" ref="H71:H77" ca="1" si="27">G71/G$145</f>
        <v>0</v>
      </c>
      <c r="I71" s="81">
        <f t="shared" ref="I71:I77" ca="1" si="28">E71*C$7</f>
        <v>0</v>
      </c>
      <c r="J71" s="70"/>
    </row>
    <row r="72" spans="1:10" ht="15" customHeight="1" x14ac:dyDescent="0.2">
      <c r="A72" s="105">
        <v>46</v>
      </c>
      <c r="B72" s="399" t="str">
        <f>Q!A371</f>
        <v>BALL VALVE 1" PELGER</v>
      </c>
      <c r="C72" s="400"/>
      <c r="D72" s="22" t="s">
        <v>46</v>
      </c>
      <c r="E72" s="81">
        <f>Q!D372</f>
        <v>0</v>
      </c>
      <c r="F72" s="376"/>
      <c r="G72" s="113">
        <f t="shared" si="26"/>
        <v>0</v>
      </c>
      <c r="H72" s="77">
        <f t="shared" ca="1" si="27"/>
        <v>0</v>
      </c>
      <c r="I72" s="81">
        <f t="shared" si="28"/>
        <v>0</v>
      </c>
      <c r="J72" s="70"/>
    </row>
    <row r="73" spans="1:10" ht="13.9" customHeight="1" x14ac:dyDescent="0.2">
      <c r="A73" s="105">
        <v>47</v>
      </c>
      <c r="B73" s="399" t="str">
        <f>Q!A372</f>
        <v>GATE VALVE WITH SAMPLING</v>
      </c>
      <c r="C73" s="400"/>
      <c r="D73" s="22" t="s">
        <v>46</v>
      </c>
      <c r="E73" s="81"/>
      <c r="F73" s="376">
        <v>165</v>
      </c>
      <c r="G73" s="113">
        <f t="shared" si="26"/>
        <v>0</v>
      </c>
      <c r="H73" s="77">
        <f t="shared" ca="1" si="27"/>
        <v>0</v>
      </c>
      <c r="I73" s="81">
        <f t="shared" si="28"/>
        <v>0</v>
      </c>
      <c r="J73" s="70"/>
    </row>
    <row r="74" spans="1:10" ht="13.9" customHeight="1" x14ac:dyDescent="0.2">
      <c r="A74" s="105">
        <v>48</v>
      </c>
      <c r="B74" s="399" t="str">
        <f>Q!A373</f>
        <v>GATE VALVE WITHOUT SAMPLING</v>
      </c>
      <c r="C74" s="400"/>
      <c r="D74" s="22" t="s">
        <v>46</v>
      </c>
      <c r="E74" s="81">
        <f>Q!D374</f>
        <v>0</v>
      </c>
      <c r="F74" s="376"/>
      <c r="G74" s="113">
        <f t="shared" si="26"/>
        <v>0</v>
      </c>
      <c r="H74" s="77">
        <f t="shared" ca="1" si="27"/>
        <v>0</v>
      </c>
      <c r="I74" s="81">
        <f t="shared" si="28"/>
        <v>0</v>
      </c>
      <c r="J74" s="70"/>
    </row>
    <row r="75" spans="1:10" ht="13.9" customHeight="1" x14ac:dyDescent="0.2">
      <c r="A75" s="105">
        <v>49</v>
      </c>
      <c r="B75" s="399" t="str">
        <f>Q!A374</f>
        <v>SAMPLING VALVE</v>
      </c>
      <c r="C75" s="400"/>
      <c r="D75" s="22" t="s">
        <v>46</v>
      </c>
      <c r="E75" s="82"/>
      <c r="F75" s="377"/>
      <c r="G75" s="113">
        <f t="shared" si="26"/>
        <v>0</v>
      </c>
      <c r="H75" s="77">
        <f t="shared" ca="1" si="27"/>
        <v>0</v>
      </c>
      <c r="I75" s="81">
        <f t="shared" si="28"/>
        <v>0</v>
      </c>
      <c r="J75" s="70"/>
    </row>
    <row r="76" spans="1:10" ht="13.9" customHeight="1" x14ac:dyDescent="0.2">
      <c r="A76" s="105">
        <v>50</v>
      </c>
      <c r="B76" s="399" t="str">
        <f>Q!A375</f>
        <v>BALL VALVE 1" Threaded on both sides</v>
      </c>
      <c r="C76" s="400"/>
      <c r="D76" s="22" t="s">
        <v>46</v>
      </c>
      <c r="E76" s="82">
        <v>0</v>
      </c>
      <c r="F76" s="377">
        <v>11</v>
      </c>
      <c r="G76" s="113">
        <f t="shared" si="26"/>
        <v>0</v>
      </c>
      <c r="H76" s="77">
        <f t="shared" ca="1" si="27"/>
        <v>0</v>
      </c>
      <c r="I76" s="81">
        <f t="shared" si="28"/>
        <v>0</v>
      </c>
      <c r="J76" s="70"/>
    </row>
    <row r="77" spans="1:10" ht="13.9" customHeight="1" x14ac:dyDescent="0.2">
      <c r="A77" s="105">
        <v>51</v>
      </c>
      <c r="B77" s="397"/>
      <c r="C77" s="398"/>
      <c r="D77" s="22"/>
      <c r="E77" s="82"/>
      <c r="F77" s="377"/>
      <c r="G77" s="113">
        <f t="shared" si="26"/>
        <v>0</v>
      </c>
      <c r="H77" s="77">
        <f t="shared" ca="1" si="27"/>
        <v>0</v>
      </c>
      <c r="I77" s="81">
        <f t="shared" si="28"/>
        <v>0</v>
      </c>
      <c r="J77" s="70"/>
    </row>
    <row r="78" spans="1:10" ht="15" x14ac:dyDescent="0.2">
      <c r="A78" s="108"/>
      <c r="B78" s="25" t="str">
        <f>Q!A376</f>
        <v>Oil Level Indicators</v>
      </c>
      <c r="C78" s="26"/>
      <c r="D78" s="24"/>
      <c r="E78" s="32"/>
      <c r="F78" s="378"/>
      <c r="G78" s="116">
        <f t="shared" si="23"/>
        <v>0</v>
      </c>
      <c r="H78" s="79">
        <f t="shared" ref="H78:H87" ca="1" si="29">G78/G$145</f>
        <v>0</v>
      </c>
      <c r="I78" s="83"/>
      <c r="J78" s="71"/>
    </row>
    <row r="79" spans="1:10" ht="15" x14ac:dyDescent="0.2">
      <c r="A79" s="105">
        <v>52</v>
      </c>
      <c r="B79" s="399" t="str">
        <f>Q!A377</f>
        <v>Magnetic- with 400mm boss</v>
      </c>
      <c r="C79" s="400"/>
      <c r="D79" s="22" t="s">
        <v>46</v>
      </c>
      <c r="E79" s="81">
        <v>0</v>
      </c>
      <c r="F79" s="376"/>
      <c r="G79" s="113">
        <f t="shared" si="23"/>
        <v>0</v>
      </c>
      <c r="H79" s="77">
        <f t="shared" ca="1" si="29"/>
        <v>0</v>
      </c>
      <c r="I79" s="81">
        <f t="shared" si="25"/>
        <v>0</v>
      </c>
      <c r="J79" s="70"/>
    </row>
    <row r="80" spans="1:10" ht="13.9" customHeight="1" x14ac:dyDescent="0.2">
      <c r="A80" s="105">
        <v>53</v>
      </c>
      <c r="B80" s="399" t="str">
        <f>Q!A378</f>
        <v>Magnetic- with 200mm boss</v>
      </c>
      <c r="C80" s="400"/>
      <c r="D80" s="22" t="s">
        <v>46</v>
      </c>
      <c r="E80" s="81"/>
      <c r="F80" s="376">
        <v>26.79</v>
      </c>
      <c r="G80" s="113">
        <f t="shared" si="23"/>
        <v>0</v>
      </c>
      <c r="H80" s="77">
        <f t="shared" ca="1" si="29"/>
        <v>0</v>
      </c>
      <c r="I80" s="81">
        <f t="shared" si="25"/>
        <v>0</v>
      </c>
      <c r="J80" s="70"/>
    </row>
    <row r="81" spans="1:10" ht="15" x14ac:dyDescent="0.2">
      <c r="A81" s="105">
        <v>54</v>
      </c>
      <c r="B81" s="399" t="str">
        <f>Q!A379</f>
        <v>4 HOLES PRISMATIC</v>
      </c>
      <c r="C81" s="400"/>
      <c r="D81" s="22" t="s">
        <v>46</v>
      </c>
      <c r="E81" s="81"/>
      <c r="F81" s="376">
        <v>10.25</v>
      </c>
      <c r="G81" s="113">
        <f t="shared" ref="G81:G87" si="30">IF(ISERROR(F81),0,F81*E81)</f>
        <v>0</v>
      </c>
      <c r="H81" s="77">
        <f t="shared" ca="1" si="29"/>
        <v>0</v>
      </c>
      <c r="I81" s="81">
        <f t="shared" si="25"/>
        <v>0</v>
      </c>
      <c r="J81" s="70"/>
    </row>
    <row r="82" spans="1:10" ht="15" x14ac:dyDescent="0.2">
      <c r="A82" s="105">
        <v>55</v>
      </c>
      <c r="B82" s="399" t="str">
        <f>Q!A380</f>
        <v>6 HOLES PRISMATIC</v>
      </c>
      <c r="C82" s="400"/>
      <c r="D82" s="22" t="s">
        <v>46</v>
      </c>
      <c r="E82" s="81">
        <v>0</v>
      </c>
      <c r="F82" s="376">
        <v>13.19</v>
      </c>
      <c r="G82" s="113">
        <f t="shared" si="30"/>
        <v>0</v>
      </c>
      <c r="H82" s="77">
        <f t="shared" ca="1" si="29"/>
        <v>0</v>
      </c>
      <c r="I82" s="81">
        <f t="shared" si="25"/>
        <v>0</v>
      </c>
      <c r="J82" s="70"/>
    </row>
    <row r="83" spans="1:10" ht="15" x14ac:dyDescent="0.2">
      <c r="A83" s="105">
        <v>56</v>
      </c>
      <c r="B83" s="399" t="str">
        <f>Q!A381</f>
        <v>8 HOLES PRISMATIC</v>
      </c>
      <c r="C83" s="400"/>
      <c r="D83" s="22" t="s">
        <v>46</v>
      </c>
      <c r="E83" s="81"/>
      <c r="F83" s="376">
        <v>15.31</v>
      </c>
      <c r="G83" s="113">
        <f t="shared" si="30"/>
        <v>0</v>
      </c>
      <c r="H83" s="77">
        <f t="shared" ca="1" si="29"/>
        <v>0</v>
      </c>
      <c r="I83" s="81">
        <f t="shared" si="25"/>
        <v>0</v>
      </c>
      <c r="J83" s="70"/>
    </row>
    <row r="84" spans="1:10" ht="15" x14ac:dyDescent="0.2">
      <c r="A84" s="105">
        <v>57</v>
      </c>
      <c r="B84" s="399" t="str">
        <f>Q!A382</f>
        <v>FLOATING TYPE</v>
      </c>
      <c r="C84" s="400"/>
      <c r="D84" s="22" t="s">
        <v>46</v>
      </c>
      <c r="E84" s="81">
        <v>1</v>
      </c>
      <c r="F84" s="376">
        <v>7.07</v>
      </c>
      <c r="G84" s="113">
        <f t="shared" si="30"/>
        <v>7.07</v>
      </c>
      <c r="H84" s="77">
        <f t="shared" ca="1" si="29"/>
        <v>1.6225470460397306E-3</v>
      </c>
      <c r="I84" s="81">
        <f t="shared" si="25"/>
        <v>73</v>
      </c>
      <c r="J84" s="70"/>
    </row>
    <row r="85" spans="1:10" ht="15" x14ac:dyDescent="0.2">
      <c r="A85" s="105">
        <v>58</v>
      </c>
      <c r="B85" s="399" t="str">
        <f>Q!A383</f>
        <v>VIAT SO4 - Dial Type with Contacts</v>
      </c>
      <c r="C85" s="400"/>
      <c r="D85" s="22" t="s">
        <v>46</v>
      </c>
      <c r="E85" s="81">
        <v>0</v>
      </c>
      <c r="F85" s="376">
        <v>120</v>
      </c>
      <c r="G85" s="113">
        <f t="shared" si="30"/>
        <v>0</v>
      </c>
      <c r="H85" s="77">
        <f t="shared" ca="1" si="29"/>
        <v>0</v>
      </c>
      <c r="I85" s="81"/>
      <c r="J85" s="70"/>
    </row>
    <row r="86" spans="1:10" ht="15" x14ac:dyDescent="0.2">
      <c r="A86" s="105">
        <v>59</v>
      </c>
      <c r="B86" s="399" t="str">
        <f>Q!A384</f>
        <v>VIAT SO6 - Dial Type with Contacts</v>
      </c>
      <c r="C86" s="400"/>
      <c r="D86" s="22" t="s">
        <v>46</v>
      </c>
      <c r="E86" s="81"/>
      <c r="F86" s="376">
        <v>158.13</v>
      </c>
      <c r="G86" s="113">
        <f t="shared" si="30"/>
        <v>0</v>
      </c>
      <c r="H86" s="77">
        <f t="shared" ca="1" si="29"/>
        <v>0</v>
      </c>
      <c r="I86" s="81"/>
      <c r="J86" s="70"/>
    </row>
    <row r="87" spans="1:10" ht="15" x14ac:dyDescent="0.2">
      <c r="A87" s="105">
        <v>60</v>
      </c>
      <c r="B87" s="399"/>
      <c r="C87" s="400"/>
      <c r="D87" s="22"/>
      <c r="E87" s="81"/>
      <c r="F87" s="376"/>
      <c r="G87" s="113">
        <f t="shared" si="30"/>
        <v>0</v>
      </c>
      <c r="H87" s="77">
        <f t="shared" ca="1" si="29"/>
        <v>0</v>
      </c>
      <c r="I87" s="81"/>
      <c r="J87" s="70"/>
    </row>
    <row r="88" spans="1:10" ht="15" x14ac:dyDescent="0.2">
      <c r="A88" s="108"/>
      <c r="B88" s="25" t="str">
        <f>Q!A386</f>
        <v>Cable Boxes</v>
      </c>
      <c r="C88" s="26"/>
      <c r="D88" s="24"/>
      <c r="E88" s="32"/>
      <c r="F88" s="378"/>
      <c r="G88" s="116">
        <f t="shared" si="23"/>
        <v>0</v>
      </c>
      <c r="H88" s="79">
        <f ca="1">G88/G$145</f>
        <v>0</v>
      </c>
      <c r="I88" s="83"/>
      <c r="J88" s="71"/>
    </row>
    <row r="89" spans="1:10" ht="15" x14ac:dyDescent="0.2">
      <c r="A89" s="105">
        <v>61</v>
      </c>
      <c r="B89" s="399" t="str">
        <f>Q!A387</f>
        <v>HV CABLE BOX</v>
      </c>
      <c r="C89" s="400"/>
      <c r="D89" s="22" t="s">
        <v>46</v>
      </c>
      <c r="E89" s="81"/>
      <c r="F89" s="376">
        <v>0</v>
      </c>
      <c r="G89" s="113">
        <f>E89*F89</f>
        <v>0</v>
      </c>
      <c r="H89" s="77">
        <f ca="1">G89/G$145</f>
        <v>0</v>
      </c>
      <c r="I89" s="81">
        <f>E89*C$7</f>
        <v>0</v>
      </c>
      <c r="J89" s="70"/>
    </row>
    <row r="90" spans="1:10" ht="15" x14ac:dyDescent="0.2">
      <c r="A90" s="105">
        <v>62</v>
      </c>
      <c r="B90" s="399" t="str">
        <f>Q!A388</f>
        <v>LV CABLE BOX</v>
      </c>
      <c r="C90" s="400"/>
      <c r="D90" s="22" t="s">
        <v>46</v>
      </c>
      <c r="E90" s="81">
        <v>0</v>
      </c>
      <c r="F90" s="376">
        <v>800</v>
      </c>
      <c r="G90" s="113">
        <f t="shared" ref="G90:G94" si="31">E90*F90</f>
        <v>0</v>
      </c>
      <c r="H90" s="77">
        <f ca="1">G90/G$145</f>
        <v>0</v>
      </c>
      <c r="I90" s="81">
        <f>E90*C$7</f>
        <v>0</v>
      </c>
      <c r="J90" s="70"/>
    </row>
    <row r="91" spans="1:10" ht="15" x14ac:dyDescent="0.2">
      <c r="A91" s="105">
        <v>63</v>
      </c>
      <c r="B91" s="399" t="str">
        <f>Q!A389</f>
        <v>WTI BOX</v>
      </c>
      <c r="C91" s="400"/>
      <c r="D91" s="22" t="s">
        <v>46</v>
      </c>
      <c r="E91" s="81"/>
      <c r="F91" s="376">
        <v>0</v>
      </c>
      <c r="G91" s="113">
        <f t="shared" si="31"/>
        <v>0</v>
      </c>
      <c r="H91" s="77">
        <f t="shared" ref="H91:H94" ca="1" si="32">G91/G$145</f>
        <v>0</v>
      </c>
      <c r="I91" s="81">
        <f t="shared" ref="I91:I94" si="33">E91*C$7</f>
        <v>0</v>
      </c>
      <c r="J91" s="70"/>
    </row>
    <row r="92" spans="1:10" ht="15" x14ac:dyDescent="0.2">
      <c r="A92" s="105">
        <v>64</v>
      </c>
      <c r="B92" s="399" t="str">
        <f>Q!A390</f>
        <v>CONNECTOR BOX</v>
      </c>
      <c r="C92" s="400"/>
      <c r="D92" s="22" t="s">
        <v>46</v>
      </c>
      <c r="E92" s="82">
        <v>0</v>
      </c>
      <c r="F92" s="376">
        <v>155</v>
      </c>
      <c r="G92" s="113">
        <f t="shared" si="31"/>
        <v>0</v>
      </c>
      <c r="H92" s="77">
        <f t="shared" ca="1" si="32"/>
        <v>0</v>
      </c>
      <c r="I92" s="81">
        <f t="shared" si="33"/>
        <v>0</v>
      </c>
      <c r="J92" s="70"/>
    </row>
    <row r="93" spans="1:10" ht="15" x14ac:dyDescent="0.2">
      <c r="A93" s="105">
        <v>65</v>
      </c>
      <c r="B93" s="399" t="s">
        <v>994</v>
      </c>
      <c r="C93" s="400"/>
      <c r="D93" s="22" t="s">
        <v>46</v>
      </c>
      <c r="E93" s="82">
        <v>0</v>
      </c>
      <c r="F93" s="376">
        <v>60</v>
      </c>
      <c r="G93" s="113">
        <f t="shared" si="31"/>
        <v>0</v>
      </c>
      <c r="H93" s="77">
        <f t="shared" ca="1" si="32"/>
        <v>0</v>
      </c>
      <c r="I93" s="81">
        <f t="shared" si="33"/>
        <v>0</v>
      </c>
      <c r="J93" s="70"/>
    </row>
    <row r="94" spans="1:10" ht="15" x14ac:dyDescent="0.2">
      <c r="A94" s="105">
        <v>66</v>
      </c>
      <c r="B94" s="399"/>
      <c r="C94" s="400"/>
      <c r="D94" s="22"/>
      <c r="E94" s="82"/>
      <c r="F94" s="377"/>
      <c r="G94" s="114">
        <f t="shared" si="31"/>
        <v>0</v>
      </c>
      <c r="H94" s="78">
        <f t="shared" ca="1" si="32"/>
        <v>0</v>
      </c>
      <c r="I94" s="81">
        <f t="shared" si="33"/>
        <v>0</v>
      </c>
      <c r="J94" s="70"/>
    </row>
    <row r="95" spans="1:10" ht="15" customHeight="1" x14ac:dyDescent="0.2">
      <c r="A95" s="108"/>
      <c r="B95" s="25" t="str">
        <f>Q!A392</f>
        <v>Other Parts</v>
      </c>
      <c r="C95" s="26"/>
      <c r="D95" s="24"/>
      <c r="E95" s="32"/>
      <c r="F95" s="378"/>
      <c r="G95" s="116">
        <f t="shared" si="23"/>
        <v>0</v>
      </c>
      <c r="H95" s="79">
        <f t="shared" ref="H95:H144" ca="1" si="34">G95/G$145</f>
        <v>0</v>
      </c>
      <c r="I95" s="83"/>
      <c r="J95" s="71"/>
    </row>
    <row r="96" spans="1:10" ht="15" x14ac:dyDescent="0.2">
      <c r="A96" s="105">
        <v>67</v>
      </c>
      <c r="B96" s="399" t="str">
        <f>Q!A393</f>
        <v>RATING PLATE</v>
      </c>
      <c r="C96" s="400"/>
      <c r="D96" s="22" t="s">
        <v>46</v>
      </c>
      <c r="E96" s="81">
        <v>1</v>
      </c>
      <c r="F96" s="376">
        <v>3.64</v>
      </c>
      <c r="G96" s="113">
        <f t="shared" si="23"/>
        <v>3.64</v>
      </c>
      <c r="H96" s="77">
        <f t="shared" ca="1" si="34"/>
        <v>8.3537075637689102E-4</v>
      </c>
      <c r="I96" s="81">
        <f>E96*C$7</f>
        <v>73</v>
      </c>
      <c r="J96" s="70"/>
    </row>
    <row r="97" spans="1:10" ht="15" customHeight="1" x14ac:dyDescent="0.25">
      <c r="A97" s="313">
        <v>68</v>
      </c>
      <c r="B97" s="399" t="str">
        <f>Q!A394</f>
        <v>PHASE MARKING PLATES</v>
      </c>
      <c r="C97" s="400"/>
      <c r="D97" s="22" t="s">
        <v>46</v>
      </c>
      <c r="E97" s="81">
        <v>1</v>
      </c>
      <c r="F97" s="376">
        <v>1.52</v>
      </c>
      <c r="G97" s="113">
        <f t="shared" si="23"/>
        <v>1.52</v>
      </c>
      <c r="H97" s="77">
        <f t="shared" ca="1" si="34"/>
        <v>3.4883614002551494E-4</v>
      </c>
      <c r="I97" s="81">
        <f t="shared" si="25"/>
        <v>73</v>
      </c>
      <c r="J97" s="70"/>
    </row>
    <row r="98" spans="1:10" ht="15" customHeight="1" x14ac:dyDescent="0.25">
      <c r="A98" s="313">
        <v>69</v>
      </c>
      <c r="B98" s="399" t="str">
        <f>Q!A395</f>
        <v>S/A MOUNTING BRACKET A-2</v>
      </c>
      <c r="C98" s="400"/>
      <c r="D98" s="22" t="s">
        <v>46</v>
      </c>
      <c r="E98" s="81">
        <v>0</v>
      </c>
      <c r="F98" s="376">
        <v>15.42</v>
      </c>
      <c r="G98" s="113">
        <f t="shared" si="23"/>
        <v>0</v>
      </c>
      <c r="H98" s="77">
        <f t="shared" ca="1" si="34"/>
        <v>0</v>
      </c>
      <c r="I98" s="81">
        <f>E98*C$7</f>
        <v>0</v>
      </c>
      <c r="J98" s="70"/>
    </row>
    <row r="99" spans="1:10" ht="15" customHeight="1" x14ac:dyDescent="0.25">
      <c r="A99" s="313">
        <v>70</v>
      </c>
      <c r="B99" s="399" t="str">
        <f>Q!A396</f>
        <v>ISD UNIT</v>
      </c>
      <c r="C99" s="400"/>
      <c r="D99" s="22" t="s">
        <v>46</v>
      </c>
      <c r="E99" s="81">
        <v>0</v>
      </c>
      <c r="F99" s="376">
        <v>274.95999999999998</v>
      </c>
      <c r="G99" s="113">
        <f t="shared" si="23"/>
        <v>0</v>
      </c>
      <c r="H99" s="77">
        <f t="shared" ca="1" si="34"/>
        <v>0</v>
      </c>
      <c r="I99" s="81">
        <f t="shared" si="25"/>
        <v>0</v>
      </c>
      <c r="J99" s="70"/>
    </row>
    <row r="100" spans="1:10" ht="15" customHeight="1" x14ac:dyDescent="0.25">
      <c r="A100" s="313">
        <v>71</v>
      </c>
      <c r="B100" s="399" t="str">
        <f>Q!A397</f>
        <v>BREATHER 1KG TYPE A</v>
      </c>
      <c r="C100" s="400"/>
      <c r="D100" s="22" t="s">
        <v>46</v>
      </c>
      <c r="E100" s="81">
        <v>0</v>
      </c>
      <c r="F100" s="376">
        <v>17.369960607999996</v>
      </c>
      <c r="G100" s="113">
        <f t="shared" si="23"/>
        <v>0</v>
      </c>
      <c r="H100" s="77">
        <f t="shared" ca="1" si="34"/>
        <v>0</v>
      </c>
      <c r="I100" s="81">
        <f t="shared" si="25"/>
        <v>0</v>
      </c>
      <c r="J100" s="70"/>
    </row>
    <row r="101" spans="1:10" ht="15" customHeight="1" x14ac:dyDescent="0.25">
      <c r="A101" s="313">
        <v>72</v>
      </c>
      <c r="B101" s="399" t="str">
        <f>Q!A398</f>
        <v>BREATHER 1KG TYPE B</v>
      </c>
      <c r="C101" s="400"/>
      <c r="D101" s="22" t="s">
        <v>46</v>
      </c>
      <c r="E101" s="81">
        <v>0</v>
      </c>
      <c r="F101" s="376">
        <v>25.19</v>
      </c>
      <c r="G101" s="113">
        <f t="shared" si="23"/>
        <v>0</v>
      </c>
      <c r="H101" s="77">
        <f t="shared" ca="1" si="34"/>
        <v>0</v>
      </c>
      <c r="I101" s="81">
        <f t="shared" si="25"/>
        <v>0</v>
      </c>
      <c r="J101" s="70"/>
    </row>
    <row r="102" spans="1:10" ht="15" customHeight="1" x14ac:dyDescent="0.25">
      <c r="A102" s="313">
        <v>73</v>
      </c>
      <c r="B102" s="399" t="str">
        <f>Q!A399</f>
        <v>BREATHER 1KG TYPE C</v>
      </c>
      <c r="C102" s="400"/>
      <c r="D102" s="22" t="s">
        <v>46</v>
      </c>
      <c r="E102" s="81">
        <v>0</v>
      </c>
      <c r="F102" s="376">
        <v>18.610672079999997</v>
      </c>
      <c r="G102" s="113">
        <f t="shared" si="23"/>
        <v>0</v>
      </c>
      <c r="H102" s="77">
        <f t="shared" ca="1" si="34"/>
        <v>0</v>
      </c>
      <c r="I102" s="81">
        <f t="shared" si="25"/>
        <v>0</v>
      </c>
      <c r="J102" s="70"/>
    </row>
    <row r="103" spans="1:10" ht="15" customHeight="1" x14ac:dyDescent="0.25">
      <c r="A103" s="313">
        <v>74</v>
      </c>
      <c r="B103" s="399" t="str">
        <f>Q!A400</f>
        <v>BREATHER 2KG</v>
      </c>
      <c r="C103" s="400"/>
      <c r="D103" s="22" t="s">
        <v>46</v>
      </c>
      <c r="E103" s="81">
        <v>0</v>
      </c>
      <c r="F103" s="376"/>
      <c r="G103" s="113">
        <f t="shared" ref="G103:G107" si="35">IF(ISERROR(F103),0,F103*E103)</f>
        <v>0</v>
      </c>
      <c r="H103" s="77">
        <f t="shared" ca="1" si="34"/>
        <v>0</v>
      </c>
      <c r="I103" s="81">
        <f t="shared" ref="I103:I107" si="36">E103*C$7</f>
        <v>0</v>
      </c>
      <c r="J103" s="70"/>
    </row>
    <row r="104" spans="1:10" ht="15" customHeight="1" x14ac:dyDescent="0.25">
      <c r="A104" s="313">
        <v>75</v>
      </c>
      <c r="B104" s="399" t="str">
        <f>Q!A401</f>
        <v>THERMOMETER TEK 16</v>
      </c>
      <c r="C104" s="400"/>
      <c r="D104" s="22" t="s">
        <v>46</v>
      </c>
      <c r="E104" s="81">
        <v>0</v>
      </c>
      <c r="F104" s="376"/>
      <c r="G104" s="113">
        <f t="shared" si="35"/>
        <v>0</v>
      </c>
      <c r="H104" s="77">
        <f t="shared" ca="1" si="34"/>
        <v>0</v>
      </c>
      <c r="I104" s="81">
        <f t="shared" si="36"/>
        <v>0</v>
      </c>
      <c r="J104" s="70"/>
    </row>
    <row r="105" spans="1:10" ht="15" customHeight="1" x14ac:dyDescent="0.25">
      <c r="A105" s="313">
        <v>76</v>
      </c>
      <c r="B105" s="399" t="str">
        <f>Q!A402</f>
        <v>THERMOWELL 3/4" BSP</v>
      </c>
      <c r="C105" s="400"/>
      <c r="D105" s="22" t="s">
        <v>46</v>
      </c>
      <c r="E105" s="81">
        <v>0</v>
      </c>
      <c r="F105" s="376">
        <v>5</v>
      </c>
      <c r="G105" s="113">
        <f t="shared" si="35"/>
        <v>0</v>
      </c>
      <c r="H105" s="77">
        <f t="shared" ca="1" si="34"/>
        <v>0</v>
      </c>
      <c r="I105" s="81">
        <f t="shared" si="36"/>
        <v>0</v>
      </c>
      <c r="J105" s="70"/>
    </row>
    <row r="106" spans="1:10" ht="15" customHeight="1" x14ac:dyDescent="0.25">
      <c r="A106" s="313">
        <v>77</v>
      </c>
      <c r="B106" s="399" t="str">
        <f>Q!A403</f>
        <v>THERMOMETER POCKET</v>
      </c>
      <c r="C106" s="400"/>
      <c r="D106" s="22" t="s">
        <v>46</v>
      </c>
      <c r="E106" s="81"/>
      <c r="F106" s="376">
        <v>3</v>
      </c>
      <c r="G106" s="113">
        <f t="shared" si="35"/>
        <v>0</v>
      </c>
      <c r="H106" s="77">
        <f t="shared" ca="1" si="34"/>
        <v>0</v>
      </c>
      <c r="I106" s="81">
        <f t="shared" si="36"/>
        <v>0</v>
      </c>
      <c r="J106" s="70"/>
    </row>
    <row r="107" spans="1:10" ht="15" customHeight="1" x14ac:dyDescent="0.25">
      <c r="A107" s="313">
        <v>78</v>
      </c>
      <c r="B107" s="399" t="str">
        <f>Q!A404</f>
        <v>GALVANIZED CUP FOR THERMOMETER POCKET</v>
      </c>
      <c r="C107" s="400"/>
      <c r="D107" s="22" t="s">
        <v>46</v>
      </c>
      <c r="E107" s="81"/>
      <c r="F107" s="376">
        <v>3</v>
      </c>
      <c r="G107" s="113">
        <f t="shared" si="35"/>
        <v>0</v>
      </c>
      <c r="H107" s="77">
        <f t="shared" ca="1" si="34"/>
        <v>0</v>
      </c>
      <c r="I107" s="81">
        <f t="shared" si="36"/>
        <v>0</v>
      </c>
      <c r="J107" s="70"/>
    </row>
    <row r="108" spans="1:10" ht="15" customHeight="1" x14ac:dyDescent="0.25">
      <c r="A108" s="313">
        <v>79</v>
      </c>
      <c r="B108" s="399" t="str">
        <f>Q!A405</f>
        <v>BUCHOLZ RELAY EW712</v>
      </c>
      <c r="C108" s="400"/>
      <c r="D108" s="22" t="s">
        <v>46</v>
      </c>
      <c r="E108" s="81">
        <v>0</v>
      </c>
      <c r="F108" s="376">
        <v>262.56</v>
      </c>
      <c r="G108" s="113">
        <f t="shared" ref="G108:G135" si="37">IF(ISERROR(F108),0,F108*E108)</f>
        <v>0</v>
      </c>
      <c r="H108" s="77">
        <f t="shared" ref="H108:H135" ca="1" si="38">G108/G$145</f>
        <v>0</v>
      </c>
      <c r="I108" s="81">
        <f t="shared" ref="I108:I135" si="39">E108*C$7</f>
        <v>0</v>
      </c>
      <c r="J108" s="70"/>
    </row>
    <row r="109" spans="1:10" ht="15" customHeight="1" x14ac:dyDescent="0.25">
      <c r="A109" s="313">
        <v>80</v>
      </c>
      <c r="B109" s="399" t="str">
        <f>Q!A406</f>
        <v>CONSERVATOR FILLING CAP AL. 2"</v>
      </c>
      <c r="C109" s="400"/>
      <c r="D109" s="22" t="s">
        <v>46</v>
      </c>
      <c r="E109" s="81">
        <v>0</v>
      </c>
      <c r="F109" s="376">
        <v>9</v>
      </c>
      <c r="G109" s="113">
        <f t="shared" si="37"/>
        <v>0</v>
      </c>
      <c r="H109" s="77">
        <f t="shared" ca="1" si="38"/>
        <v>0</v>
      </c>
      <c r="I109" s="81">
        <f t="shared" si="39"/>
        <v>0</v>
      </c>
      <c r="J109" s="70"/>
    </row>
    <row r="110" spans="1:10" ht="15" customHeight="1" x14ac:dyDescent="0.25">
      <c r="A110" s="313">
        <v>81</v>
      </c>
      <c r="B110" s="399" t="str">
        <f>Q!A407</f>
        <v>T/F WHEEL 7613T00691</v>
      </c>
      <c r="C110" s="400"/>
      <c r="D110" s="22" t="s">
        <v>46</v>
      </c>
      <c r="E110" s="81"/>
      <c r="F110" s="376">
        <v>15</v>
      </c>
      <c r="G110" s="113">
        <f t="shared" si="37"/>
        <v>0</v>
      </c>
      <c r="H110" s="77">
        <f t="shared" ca="1" si="38"/>
        <v>0</v>
      </c>
      <c r="I110" s="81">
        <f t="shared" si="39"/>
        <v>0</v>
      </c>
      <c r="J110" s="70"/>
    </row>
    <row r="111" spans="1:10" ht="15" customHeight="1" x14ac:dyDescent="0.25">
      <c r="A111" s="313">
        <v>82</v>
      </c>
      <c r="B111" s="399" t="str">
        <f>Q!A408</f>
        <v>T/F WHEEL 7613T00691</v>
      </c>
      <c r="C111" s="400"/>
      <c r="D111" s="22" t="s">
        <v>46</v>
      </c>
      <c r="E111" s="81"/>
      <c r="F111" s="376"/>
      <c r="G111" s="113">
        <f t="shared" si="37"/>
        <v>0</v>
      </c>
      <c r="H111" s="77">
        <f t="shared" ca="1" si="38"/>
        <v>0</v>
      </c>
      <c r="I111" s="81">
        <f t="shared" si="39"/>
        <v>0</v>
      </c>
      <c r="J111" s="70"/>
    </row>
    <row r="112" spans="1:10" ht="15" x14ac:dyDescent="0.25">
      <c r="A112" s="313">
        <v>83</v>
      </c>
      <c r="B112" s="399" t="str">
        <f>Q!A409</f>
        <v>OIL TEMP. INDICATOR TD50 (354 01 12X6.0)</v>
      </c>
      <c r="C112" s="400"/>
      <c r="D112" s="22" t="s">
        <v>46</v>
      </c>
      <c r="E112" s="81">
        <v>0</v>
      </c>
      <c r="F112" s="376">
        <v>1100</v>
      </c>
      <c r="G112" s="113">
        <f t="shared" si="37"/>
        <v>0</v>
      </c>
      <c r="H112" s="77">
        <f t="shared" ca="1" si="38"/>
        <v>0</v>
      </c>
      <c r="I112" s="81">
        <f t="shared" si="39"/>
        <v>0</v>
      </c>
      <c r="J112" s="70"/>
    </row>
    <row r="113" spans="1:10" ht="15" customHeight="1" x14ac:dyDescent="0.25">
      <c r="A113" s="313">
        <v>84</v>
      </c>
      <c r="B113" s="399" t="str">
        <f>Q!A410</f>
        <v>WINDING TEMP. INDICATOR TD76 (354 01 12X6.0)</v>
      </c>
      <c r="C113" s="400"/>
      <c r="D113" s="22" t="s">
        <v>46</v>
      </c>
      <c r="E113" s="81">
        <v>0</v>
      </c>
      <c r="F113" s="376">
        <v>1050</v>
      </c>
      <c r="G113" s="113">
        <f t="shared" si="37"/>
        <v>0</v>
      </c>
      <c r="H113" s="77">
        <f t="shared" ca="1" si="38"/>
        <v>0</v>
      </c>
      <c r="I113" s="81">
        <f t="shared" si="39"/>
        <v>0</v>
      </c>
      <c r="J113" s="70"/>
    </row>
    <row r="114" spans="1:10" ht="15" customHeight="1" x14ac:dyDescent="0.25">
      <c r="A114" s="313">
        <v>85</v>
      </c>
      <c r="B114" s="399" t="str">
        <f>Q!A411</f>
        <v>RTD WTI (PT100)</v>
      </c>
      <c r="C114" s="400"/>
      <c r="D114" s="22" t="s">
        <v>687</v>
      </c>
      <c r="E114" s="81"/>
      <c r="F114" s="376"/>
      <c r="G114" s="113">
        <f t="shared" si="37"/>
        <v>0</v>
      </c>
      <c r="H114" s="77">
        <f t="shared" ca="1" si="38"/>
        <v>0</v>
      </c>
      <c r="I114" s="81">
        <f t="shared" si="39"/>
        <v>0</v>
      </c>
      <c r="J114" s="70"/>
    </row>
    <row r="115" spans="1:10" ht="15" customHeight="1" x14ac:dyDescent="0.25">
      <c r="A115" s="313">
        <v>86</v>
      </c>
      <c r="B115" s="399" t="str">
        <f>Q!A412</f>
        <v>RTD OTI (PT100)</v>
      </c>
      <c r="C115" s="400"/>
      <c r="D115" s="22" t="s">
        <v>687</v>
      </c>
      <c r="E115" s="81"/>
      <c r="F115" s="376"/>
      <c r="G115" s="113">
        <f t="shared" si="37"/>
        <v>0</v>
      </c>
      <c r="H115" s="77">
        <f t="shared" ca="1" si="38"/>
        <v>0</v>
      </c>
      <c r="I115" s="81">
        <f t="shared" si="39"/>
        <v>0</v>
      </c>
      <c r="J115" s="70"/>
    </row>
    <row r="116" spans="1:10" ht="15" customHeight="1" x14ac:dyDescent="0.25">
      <c r="A116" s="313">
        <v>87</v>
      </c>
      <c r="B116" s="399" t="str">
        <f>Q!A413</f>
        <v>CT 3000/2A Oil Immersed (Measuring) Ring Type 15VA/0.5</v>
      </c>
      <c r="C116" s="400"/>
      <c r="D116" s="22" t="s">
        <v>46</v>
      </c>
      <c r="E116" s="81">
        <v>0</v>
      </c>
      <c r="F116" s="376">
        <v>90</v>
      </c>
      <c r="G116" s="113">
        <f t="shared" si="37"/>
        <v>0</v>
      </c>
      <c r="H116" s="77">
        <f t="shared" ca="1" si="38"/>
        <v>0</v>
      </c>
      <c r="I116" s="81">
        <f t="shared" si="39"/>
        <v>0</v>
      </c>
      <c r="J116" s="70"/>
    </row>
    <row r="117" spans="1:10" ht="15" customHeight="1" x14ac:dyDescent="0.25">
      <c r="A117" s="313">
        <v>88</v>
      </c>
      <c r="B117" s="399" t="str">
        <f>Q!A414</f>
        <v>CT 5000/5A Oil Immersed (Measuring) Ring Type 15VA/0.5</v>
      </c>
      <c r="C117" s="400"/>
      <c r="D117" s="22" t="s">
        <v>46</v>
      </c>
      <c r="E117" s="81"/>
      <c r="F117" s="376">
        <v>60</v>
      </c>
      <c r="G117" s="113">
        <f t="shared" si="37"/>
        <v>0</v>
      </c>
      <c r="H117" s="77">
        <f t="shared" ca="1" si="38"/>
        <v>0</v>
      </c>
      <c r="I117" s="81">
        <f t="shared" si="39"/>
        <v>0</v>
      </c>
      <c r="J117" s="70"/>
    </row>
    <row r="118" spans="1:10" ht="15" customHeight="1" x14ac:dyDescent="0.25">
      <c r="A118" s="313">
        <v>89</v>
      </c>
      <c r="B118" s="399" t="str">
        <f>Q!A415</f>
        <v>CT 1600/1A 5P20 15VA/0.5 2 Core</v>
      </c>
      <c r="C118" s="400"/>
      <c r="D118" s="22" t="s">
        <v>46</v>
      </c>
      <c r="E118" s="81">
        <v>0</v>
      </c>
      <c r="F118" s="376">
        <v>180</v>
      </c>
      <c r="G118" s="113">
        <f t="shared" si="37"/>
        <v>0</v>
      </c>
      <c r="H118" s="77">
        <f t="shared" ca="1" si="38"/>
        <v>0</v>
      </c>
      <c r="I118" s="81">
        <f t="shared" si="39"/>
        <v>0</v>
      </c>
      <c r="J118" s="70"/>
    </row>
    <row r="119" spans="1:10" ht="15" customHeight="1" x14ac:dyDescent="0.25">
      <c r="A119" s="313">
        <v>90</v>
      </c>
      <c r="B119" s="399" t="str">
        <f>Q!A416</f>
        <v>NCT 400/1A 5P20 15VA</v>
      </c>
      <c r="C119" s="400"/>
      <c r="D119" s="22" t="s">
        <v>46</v>
      </c>
      <c r="E119" s="81"/>
      <c r="F119" s="376">
        <v>235.30500000000004</v>
      </c>
      <c r="G119" s="113">
        <f t="shared" si="37"/>
        <v>0</v>
      </c>
      <c r="H119" s="77">
        <f t="shared" ca="1" si="38"/>
        <v>0</v>
      </c>
      <c r="I119" s="81">
        <f t="shared" si="39"/>
        <v>0</v>
      </c>
      <c r="J119" s="70"/>
    </row>
    <row r="120" spans="1:10" ht="15" customHeight="1" x14ac:dyDescent="0.25">
      <c r="A120" s="313">
        <v>91</v>
      </c>
      <c r="B120" s="399" t="str">
        <f>Q!A417</f>
        <v>NCT 1600/1A 5P20 15VA</v>
      </c>
      <c r="C120" s="400"/>
      <c r="D120" s="22" t="s">
        <v>46</v>
      </c>
      <c r="E120" s="81"/>
      <c r="F120" s="376">
        <v>127.575</v>
      </c>
      <c r="G120" s="113">
        <f t="shared" si="37"/>
        <v>0</v>
      </c>
      <c r="H120" s="77">
        <f t="shared" ca="1" si="38"/>
        <v>0</v>
      </c>
      <c r="I120" s="81">
        <f t="shared" si="39"/>
        <v>0</v>
      </c>
      <c r="J120" s="70"/>
    </row>
    <row r="121" spans="1:10" ht="15" customHeight="1" x14ac:dyDescent="0.25">
      <c r="A121" s="313">
        <v>92</v>
      </c>
      <c r="B121" s="399" t="str">
        <f>Q!A418</f>
        <v>NCT 2000/1A 5P20 15VA</v>
      </c>
      <c r="C121" s="400"/>
      <c r="D121" s="22" t="s">
        <v>46</v>
      </c>
      <c r="E121" s="81"/>
      <c r="F121" s="376">
        <v>297.67500000000001</v>
      </c>
      <c r="G121" s="113">
        <f t="shared" si="37"/>
        <v>0</v>
      </c>
      <c r="H121" s="77">
        <f t="shared" ca="1" si="38"/>
        <v>0</v>
      </c>
      <c r="I121" s="81">
        <f t="shared" si="39"/>
        <v>0</v>
      </c>
      <c r="J121" s="70"/>
    </row>
    <row r="122" spans="1:10" ht="15" customHeight="1" x14ac:dyDescent="0.25">
      <c r="A122" s="313">
        <v>93</v>
      </c>
      <c r="B122" s="399" t="str">
        <f>Q!A419</f>
        <v>CT TERMINAL BOX (2 TERMINALS)</v>
      </c>
      <c r="C122" s="400"/>
      <c r="D122" s="22" t="s">
        <v>46</v>
      </c>
      <c r="E122" s="81"/>
      <c r="F122" s="376"/>
      <c r="G122" s="113">
        <f t="shared" si="37"/>
        <v>0</v>
      </c>
      <c r="H122" s="77">
        <f t="shared" ca="1" si="38"/>
        <v>0</v>
      </c>
      <c r="I122" s="81">
        <f t="shared" si="39"/>
        <v>0</v>
      </c>
      <c r="J122" s="70"/>
    </row>
    <row r="123" spans="1:10" ht="13.9" customHeight="1" x14ac:dyDescent="0.25">
      <c r="A123" s="313">
        <v>94</v>
      </c>
      <c r="B123" s="399" t="str">
        <f>Q!A420</f>
        <v>CT TERMINAL BOX (4 TERMINALS)</v>
      </c>
      <c r="C123" s="400"/>
      <c r="D123" s="22" t="s">
        <v>46</v>
      </c>
      <c r="E123" s="81"/>
      <c r="F123" s="376">
        <v>50</v>
      </c>
      <c r="G123" s="113">
        <f t="shared" si="37"/>
        <v>0</v>
      </c>
      <c r="H123" s="77">
        <f t="shared" ca="1" si="38"/>
        <v>0</v>
      </c>
      <c r="I123" s="81">
        <f t="shared" si="39"/>
        <v>0</v>
      </c>
      <c r="J123" s="70"/>
    </row>
    <row r="124" spans="1:10" ht="15" customHeight="1" x14ac:dyDescent="0.25">
      <c r="A124" s="313">
        <v>95</v>
      </c>
      <c r="B124" s="399" t="str">
        <f>Q!A421</f>
        <v>CT TERMINAL BOX (6 TERMINALS)</v>
      </c>
      <c r="C124" s="400"/>
      <c r="D124" s="22" t="s">
        <v>46</v>
      </c>
      <c r="E124" s="81"/>
      <c r="F124" s="376"/>
      <c r="G124" s="113">
        <f t="shared" si="37"/>
        <v>0</v>
      </c>
      <c r="H124" s="77">
        <f t="shared" ca="1" si="38"/>
        <v>0</v>
      </c>
      <c r="I124" s="81">
        <f t="shared" si="39"/>
        <v>0</v>
      </c>
      <c r="J124" s="70"/>
    </row>
    <row r="125" spans="1:10" ht="15" customHeight="1" x14ac:dyDescent="0.25">
      <c r="A125" s="313">
        <v>96</v>
      </c>
      <c r="B125" s="399" t="str">
        <f>Q!A422</f>
        <v>24kV ELBOW CONNECTOR SET (03)</v>
      </c>
      <c r="C125" s="400"/>
      <c r="D125" s="22" t="s">
        <v>46</v>
      </c>
      <c r="E125" s="81">
        <v>0</v>
      </c>
      <c r="F125" s="376"/>
      <c r="G125" s="113">
        <f t="shared" si="37"/>
        <v>0</v>
      </c>
      <c r="H125" s="77">
        <f t="shared" ca="1" si="38"/>
        <v>0</v>
      </c>
      <c r="I125" s="81">
        <f t="shared" si="39"/>
        <v>0</v>
      </c>
      <c r="J125" s="70"/>
    </row>
    <row r="126" spans="1:10" ht="15" customHeight="1" x14ac:dyDescent="0.25">
      <c r="A126" s="313">
        <v>97</v>
      </c>
      <c r="B126" s="399" t="str">
        <f>Q!A423</f>
        <v>36kV ELBOW CONNECTOR SET (03)</v>
      </c>
      <c r="C126" s="400"/>
      <c r="D126" s="22" t="s">
        <v>46</v>
      </c>
      <c r="E126" s="81">
        <v>0</v>
      </c>
      <c r="F126" s="376"/>
      <c r="G126" s="113">
        <f t="shared" si="37"/>
        <v>0</v>
      </c>
      <c r="H126" s="77">
        <f t="shared" ca="1" si="38"/>
        <v>0</v>
      </c>
      <c r="I126" s="81">
        <f t="shared" si="39"/>
        <v>0</v>
      </c>
      <c r="J126" s="70"/>
    </row>
    <row r="127" spans="1:10" ht="15" customHeight="1" x14ac:dyDescent="0.25">
      <c r="A127" s="313">
        <v>98</v>
      </c>
      <c r="B127" s="399" t="str">
        <f>Q!A424</f>
        <v>52kV ELBOW CONNECTOR SET (04)</v>
      </c>
      <c r="C127" s="400"/>
      <c r="D127" s="22" t="s">
        <v>46</v>
      </c>
      <c r="E127" s="81">
        <v>0</v>
      </c>
      <c r="F127" s="376"/>
      <c r="G127" s="113">
        <f t="shared" si="37"/>
        <v>0</v>
      </c>
      <c r="H127" s="77">
        <f t="shared" ca="1" si="38"/>
        <v>0</v>
      </c>
      <c r="I127" s="81">
        <f t="shared" si="39"/>
        <v>0</v>
      </c>
      <c r="J127" s="70"/>
    </row>
    <row r="128" spans="1:10" ht="15" customHeight="1" x14ac:dyDescent="0.25">
      <c r="A128" s="313">
        <v>99</v>
      </c>
      <c r="B128" s="399" t="str">
        <f>Q!A425</f>
        <v>OBO SURGE ARRESTERS</v>
      </c>
      <c r="C128" s="400"/>
      <c r="D128" s="22" t="s">
        <v>46</v>
      </c>
      <c r="E128" s="81">
        <v>0</v>
      </c>
      <c r="F128" s="376"/>
      <c r="G128" s="113">
        <f t="shared" si="37"/>
        <v>0</v>
      </c>
      <c r="H128" s="77">
        <f t="shared" ca="1" si="38"/>
        <v>0</v>
      </c>
      <c r="I128" s="81">
        <f t="shared" si="39"/>
        <v>0</v>
      </c>
      <c r="J128" s="70"/>
    </row>
    <row r="129" spans="1:13" ht="15" customHeight="1" x14ac:dyDescent="0.25">
      <c r="A129" s="313">
        <v>100</v>
      </c>
      <c r="B129" s="399" t="str">
        <f>Q!A426</f>
        <v>LTL Name Board</v>
      </c>
      <c r="C129" s="400"/>
      <c r="D129" s="22" t="s">
        <v>46</v>
      </c>
      <c r="E129" s="81">
        <v>1</v>
      </c>
      <c r="F129" s="376">
        <v>7.03</v>
      </c>
      <c r="G129" s="113">
        <f t="shared" si="37"/>
        <v>7.03</v>
      </c>
      <c r="H129" s="77">
        <f t="shared" ca="1" si="38"/>
        <v>1.6133671476180065E-3</v>
      </c>
      <c r="I129" s="81">
        <f t="shared" si="39"/>
        <v>73</v>
      </c>
      <c r="J129" s="70"/>
    </row>
    <row r="130" spans="1:13" ht="15" customHeight="1" x14ac:dyDescent="0.25">
      <c r="A130" s="313">
        <v>101</v>
      </c>
      <c r="B130" s="399" t="str">
        <f>Q!A427</f>
        <v>Nut, Bolt &amp; 2 Washers (Galvanized) M10 x 40 mm</v>
      </c>
      <c r="C130" s="400"/>
      <c r="D130" s="22" t="s">
        <v>46</v>
      </c>
      <c r="E130" s="81"/>
      <c r="F130" s="376"/>
      <c r="G130" s="113">
        <f t="shared" si="37"/>
        <v>0</v>
      </c>
      <c r="H130" s="77">
        <f t="shared" ca="1" si="38"/>
        <v>0</v>
      </c>
      <c r="I130" s="81">
        <f t="shared" si="39"/>
        <v>0</v>
      </c>
      <c r="J130" s="70"/>
    </row>
    <row r="131" spans="1:13" ht="15.75" customHeight="1" x14ac:dyDescent="0.25">
      <c r="A131" s="313">
        <v>102</v>
      </c>
      <c r="B131" s="399" t="str">
        <f>Q!A428</f>
        <v>Split washers for tank cover fixing</v>
      </c>
      <c r="C131" s="400"/>
      <c r="D131" s="22" t="s">
        <v>46</v>
      </c>
      <c r="E131" s="81"/>
      <c r="F131" s="376"/>
      <c r="G131" s="113">
        <f t="shared" si="37"/>
        <v>0</v>
      </c>
      <c r="H131" s="77">
        <f t="shared" ca="1" si="38"/>
        <v>0</v>
      </c>
      <c r="I131" s="81">
        <f t="shared" si="39"/>
        <v>0</v>
      </c>
      <c r="J131" s="70"/>
    </row>
    <row r="132" spans="1:13" ht="15" customHeight="1" x14ac:dyDescent="0.25">
      <c r="A132" s="313">
        <v>103</v>
      </c>
      <c r="B132" s="399" t="str">
        <f>Q!A429</f>
        <v>M12 bolt, nut, spring washer &amp; lock washer for earthing terminal</v>
      </c>
      <c r="C132" s="400"/>
      <c r="D132" s="22" t="s">
        <v>46</v>
      </c>
      <c r="E132" s="81"/>
      <c r="F132" s="376"/>
      <c r="G132" s="113">
        <f t="shared" si="37"/>
        <v>0</v>
      </c>
      <c r="H132" s="77">
        <f t="shared" ca="1" si="38"/>
        <v>0</v>
      </c>
      <c r="I132" s="81">
        <f t="shared" si="39"/>
        <v>0</v>
      </c>
      <c r="J132" s="70"/>
    </row>
    <row r="133" spans="1:13" ht="15" customHeight="1" x14ac:dyDescent="0.25">
      <c r="A133" s="313">
        <v>104</v>
      </c>
      <c r="B133" s="399" t="str">
        <f>Q!A430</f>
        <v>Flange Gasket</v>
      </c>
      <c r="C133" s="400"/>
      <c r="D133" s="22" t="s">
        <v>46</v>
      </c>
      <c r="E133" s="81"/>
      <c r="F133" s="376">
        <v>10</v>
      </c>
      <c r="G133" s="113">
        <f t="shared" si="37"/>
        <v>0</v>
      </c>
      <c r="H133" s="77">
        <f t="shared" ca="1" si="38"/>
        <v>0</v>
      </c>
      <c r="I133" s="81">
        <f t="shared" si="39"/>
        <v>0</v>
      </c>
      <c r="J133" s="70"/>
    </row>
    <row r="134" spans="1:13" ht="15" customHeight="1" x14ac:dyDescent="0.25">
      <c r="A134" s="313">
        <v>105</v>
      </c>
      <c r="B134" s="399" t="str">
        <f>Q!A431</f>
        <v>Wooden Pallete For Packing</v>
      </c>
      <c r="C134" s="400"/>
      <c r="D134" s="22" t="s">
        <v>46</v>
      </c>
      <c r="E134" s="81"/>
      <c r="F134" s="376">
        <v>12</v>
      </c>
      <c r="G134" s="113">
        <f t="shared" ref="G134" si="40">IF(ISERROR(F134),0,F134*E134)</f>
        <v>0</v>
      </c>
      <c r="H134" s="77">
        <f t="shared" ref="H134" ca="1" si="41">G134/G$145</f>
        <v>0</v>
      </c>
      <c r="I134" s="81">
        <f t="shared" ref="I134" si="42">E134*C$7</f>
        <v>0</v>
      </c>
      <c r="J134" s="70"/>
    </row>
    <row r="135" spans="1:13" ht="15" customHeight="1" x14ac:dyDescent="0.25">
      <c r="A135" s="313">
        <v>105</v>
      </c>
      <c r="B135" s="399" t="s">
        <v>995</v>
      </c>
      <c r="C135" s="400"/>
      <c r="D135" s="22" t="s">
        <v>46</v>
      </c>
      <c r="E135" s="81"/>
      <c r="F135" s="376">
        <v>14</v>
      </c>
      <c r="G135" s="113">
        <f t="shared" si="37"/>
        <v>0</v>
      </c>
      <c r="H135" s="77">
        <f t="shared" ca="1" si="38"/>
        <v>0</v>
      </c>
      <c r="I135" s="81">
        <f t="shared" si="39"/>
        <v>0</v>
      </c>
      <c r="J135" s="70"/>
    </row>
    <row r="136" spans="1:13" ht="15" customHeight="1" x14ac:dyDescent="0.2">
      <c r="A136" s="108"/>
      <c r="B136" s="25" t="str">
        <f>Q!A435</f>
        <v>Painting</v>
      </c>
      <c r="C136" s="26"/>
      <c r="D136" s="24"/>
      <c r="E136" s="32"/>
      <c r="F136" s="378"/>
      <c r="G136" s="116">
        <f t="shared" ref="G136:G141" si="43">IF(ISERROR(F136),0,F136*E136)</f>
        <v>0</v>
      </c>
      <c r="H136" s="79">
        <f t="shared" ca="1" si="34"/>
        <v>0</v>
      </c>
      <c r="I136" s="83"/>
      <c r="J136" s="71"/>
    </row>
    <row r="137" spans="1:13" ht="13.5" customHeight="1" x14ac:dyDescent="0.2">
      <c r="A137" s="105">
        <v>106</v>
      </c>
      <c r="B137" s="399" t="str">
        <f>Q!A436</f>
        <v>GALVANIZING</v>
      </c>
      <c r="C137" s="400"/>
      <c r="D137" s="22" t="s">
        <v>45</v>
      </c>
      <c r="E137" s="81"/>
      <c r="F137" s="376">
        <v>0.30843243243243246</v>
      </c>
      <c r="G137" s="113">
        <f t="shared" si="43"/>
        <v>0</v>
      </c>
      <c r="H137" s="77">
        <f t="shared" ca="1" si="34"/>
        <v>0</v>
      </c>
      <c r="I137" s="81">
        <f>E137*C$7</f>
        <v>0</v>
      </c>
      <c r="J137" s="70"/>
    </row>
    <row r="138" spans="1:13" ht="12.75" customHeight="1" x14ac:dyDescent="0.2">
      <c r="A138" s="105">
        <v>107</v>
      </c>
      <c r="B138" s="399" t="str">
        <f>Q!A437</f>
        <v>PRIMER PAINT &amp; THINNER</v>
      </c>
      <c r="C138" s="400"/>
      <c r="D138" s="22" t="s">
        <v>45</v>
      </c>
      <c r="E138" s="113"/>
      <c r="F138" s="376">
        <v>9.1999999999999993</v>
      </c>
      <c r="G138" s="113">
        <f t="shared" si="43"/>
        <v>0</v>
      </c>
      <c r="H138" s="77">
        <f t="shared" ca="1" si="34"/>
        <v>0</v>
      </c>
      <c r="I138" s="81">
        <f>E138*C$7</f>
        <v>0</v>
      </c>
      <c r="J138" s="70"/>
    </row>
    <row r="139" spans="1:13" ht="12.75" customHeight="1" x14ac:dyDescent="0.2">
      <c r="A139" s="105">
        <v>108</v>
      </c>
      <c r="B139" s="399" t="str">
        <f>Q!A438</f>
        <v>POWDER PAINT (RAL6028) Marine Grade</v>
      </c>
      <c r="C139" s="400"/>
      <c r="D139" s="22" t="s">
        <v>45</v>
      </c>
      <c r="E139" s="113"/>
      <c r="F139" s="376">
        <v>7.37</v>
      </c>
      <c r="G139" s="113">
        <f t="shared" si="43"/>
        <v>0</v>
      </c>
      <c r="H139" s="77">
        <f t="shared" ca="1" si="34"/>
        <v>0</v>
      </c>
      <c r="I139" s="81">
        <f>E139*C$7</f>
        <v>0</v>
      </c>
      <c r="J139" s="70"/>
      <c r="L139" s="80"/>
    </row>
    <row r="140" spans="1:13" ht="12.75" customHeight="1" x14ac:dyDescent="0.2">
      <c r="A140" s="105">
        <v>109</v>
      </c>
      <c r="B140" s="399" t="str">
        <f>Q!A439</f>
        <v>INTERNAL PAINT</v>
      </c>
      <c r="C140" s="400"/>
      <c r="D140" s="22" t="s">
        <v>45</v>
      </c>
      <c r="E140" s="113"/>
      <c r="F140" s="376">
        <v>7.6836759999999993</v>
      </c>
      <c r="G140" s="113">
        <f t="shared" ref="G140" si="44">IF(ISERROR(F140),0,F140*E140)</f>
        <v>0</v>
      </c>
      <c r="H140" s="77">
        <f t="shared" ref="H140" ca="1" si="45">G140/G$145</f>
        <v>0</v>
      </c>
      <c r="I140" s="81">
        <f>E140*C$7</f>
        <v>0</v>
      </c>
      <c r="J140" s="70"/>
      <c r="L140" s="80"/>
    </row>
    <row r="141" spans="1:13" ht="12.75" customHeight="1" x14ac:dyDescent="0.2">
      <c r="A141" s="105"/>
      <c r="B141" s="399">
        <f>Q!A434</f>
        <v>0</v>
      </c>
      <c r="C141" s="400"/>
      <c r="D141" s="22"/>
      <c r="E141" s="81">
        <f>Q!D434</f>
        <v>0</v>
      </c>
      <c r="F141" s="376"/>
      <c r="G141" s="113">
        <f t="shared" si="43"/>
        <v>0</v>
      </c>
      <c r="H141" s="77">
        <f t="shared" ca="1" si="34"/>
        <v>0</v>
      </c>
      <c r="I141" s="81">
        <f>E141*C$7</f>
        <v>0</v>
      </c>
      <c r="J141" s="70"/>
      <c r="M141" s="17"/>
    </row>
    <row r="142" spans="1:13" ht="12.75" customHeight="1" x14ac:dyDescent="0.2">
      <c r="A142" s="137"/>
      <c r="B142" s="138" t="s">
        <v>258</v>
      </c>
      <c r="C142" s="138"/>
      <c r="D142" s="138" t="s">
        <v>257</v>
      </c>
      <c r="E142" s="138" t="s">
        <v>262</v>
      </c>
      <c r="F142" s="143"/>
      <c r="G142" s="155">
        <f ca="1">SUM(G11:G53
)+SUM(G136:G141)</f>
        <v>3808.6939902235026</v>
      </c>
      <c r="H142" s="144">
        <f ca="1">G142/G$145</f>
        <v>0.8740855987420677</v>
      </c>
      <c r="I142" s="155">
        <f ca="1">G142*C$7</f>
        <v>278034.66128631571</v>
      </c>
      <c r="J142" s="139"/>
      <c r="M142" s="129"/>
    </row>
    <row r="143" spans="1:13" ht="12.75" customHeight="1" x14ac:dyDescent="0.2">
      <c r="A143" s="140"/>
      <c r="B143" s="141" t="s">
        <v>259</v>
      </c>
      <c r="C143" s="141"/>
      <c r="D143" s="141" t="s">
        <v>257</v>
      </c>
      <c r="E143" s="141" t="s">
        <v>262</v>
      </c>
      <c r="F143" s="145"/>
      <c r="G143" s="156">
        <f ca="1">SUM(G55:G135)</f>
        <v>341.15999999999991</v>
      </c>
      <c r="H143" s="146">
        <f t="shared" ca="1" si="34"/>
        <v>7.8295353638884624E-2</v>
      </c>
      <c r="I143" s="156">
        <f ca="1">G143*C$7</f>
        <v>24904.679999999993</v>
      </c>
      <c r="J143" s="142"/>
      <c r="M143" s="129"/>
    </row>
    <row r="144" spans="1:13" ht="12.75" customHeight="1" x14ac:dyDescent="0.2">
      <c r="A144" s="140"/>
      <c r="B144" s="141" t="s">
        <v>260</v>
      </c>
      <c r="C144" s="141"/>
      <c r="D144" s="141" t="s">
        <v>257</v>
      </c>
      <c r="E144" s="141" t="s">
        <v>262</v>
      </c>
      <c r="F144" s="153">
        <v>0.05</v>
      </c>
      <c r="G144" s="156">
        <f ca="1">SUM(G142:G143)*F144</f>
        <v>207.49269951117515</v>
      </c>
      <c r="H144" s="146">
        <f t="shared" ca="1" si="34"/>
        <v>4.7619047619047623E-2</v>
      </c>
      <c r="I144" s="156">
        <f ca="1">G144*C$7</f>
        <v>15146.967064315786</v>
      </c>
      <c r="J144" s="142"/>
      <c r="M144" s="129"/>
    </row>
    <row r="145" spans="1:13" ht="12.75" customHeight="1" x14ac:dyDescent="0.2">
      <c r="A145" s="133"/>
      <c r="B145" s="134" t="s">
        <v>261</v>
      </c>
      <c r="C145" s="134"/>
      <c r="D145" s="134" t="s">
        <v>257</v>
      </c>
      <c r="E145" s="134" t="s">
        <v>262</v>
      </c>
      <c r="F145" s="147"/>
      <c r="G145" s="154">
        <f ca="1">SUM(G142:G144)</f>
        <v>4357.346689734678</v>
      </c>
      <c r="H145" s="158" t="e">
        <f ca="1">G145/G$150</f>
        <v>#DIV/0!</v>
      </c>
      <c r="I145" s="154">
        <f ca="1">G145*C$7</f>
        <v>318086.3083506315</v>
      </c>
      <c r="J145" s="136"/>
      <c r="M145" s="80"/>
    </row>
    <row r="146" spans="1:13" ht="12.75" customHeight="1" x14ac:dyDescent="0.2">
      <c r="A146" s="133"/>
      <c r="B146" s="134"/>
      <c r="C146" s="134"/>
      <c r="D146" s="134"/>
      <c r="E146" s="135"/>
      <c r="F146" s="166"/>
      <c r="G146" s="154"/>
      <c r="H146" s="158"/>
      <c r="I146" s="154"/>
      <c r="J146" s="136"/>
      <c r="M146" s="80"/>
    </row>
    <row r="147" spans="1:13" ht="12.75" customHeight="1" x14ac:dyDescent="0.2">
      <c r="A147" s="109"/>
      <c r="B147" s="75"/>
      <c r="C147" s="75"/>
      <c r="D147" s="75"/>
      <c r="E147" s="75"/>
      <c r="F147" s="148"/>
      <c r="G147" s="157"/>
      <c r="H147" s="159"/>
      <c r="I147" s="157"/>
      <c r="J147" s="76"/>
      <c r="M147" s="80"/>
    </row>
    <row r="148" spans="1:13" s="17" customFormat="1" ht="12.75" customHeight="1" x14ac:dyDescent="0.2">
      <c r="A148" s="122"/>
      <c r="B148" s="123"/>
      <c r="C148" s="123"/>
      <c r="D148" s="123"/>
      <c r="E148" s="123"/>
      <c r="F148" s="149"/>
      <c r="G148" s="150"/>
      <c r="H148" s="160"/>
      <c r="I148" s="150"/>
      <c r="J148" s="124"/>
      <c r="M148" s="130"/>
    </row>
    <row r="149" spans="1:13" s="17" customFormat="1" ht="12.75" customHeight="1" x14ac:dyDescent="0.2">
      <c r="A149" s="131"/>
      <c r="B149" s="128"/>
      <c r="C149" s="128"/>
      <c r="D149" s="128"/>
      <c r="E149" s="128"/>
      <c r="F149" s="151"/>
      <c r="G149" s="193"/>
      <c r="H149" s="161"/>
      <c r="I149" s="151"/>
      <c r="J149" s="132"/>
      <c r="M149" s="130"/>
    </row>
    <row r="150" spans="1:13" s="17" customFormat="1" ht="12.75" customHeight="1" thickBot="1" x14ac:dyDescent="0.25">
      <c r="A150" s="125"/>
      <c r="B150" s="126"/>
      <c r="C150" s="126"/>
      <c r="D150" s="126"/>
      <c r="E150" s="126"/>
      <c r="F150" s="152"/>
      <c r="G150" s="152"/>
      <c r="H150" s="152"/>
      <c r="I150" s="152"/>
      <c r="J150" s="127"/>
      <c r="M150" s="80"/>
    </row>
    <row r="151" spans="1:13" s="17" customFormat="1" ht="12.75" customHeight="1" x14ac:dyDescent="0.2">
      <c r="A151" s="347"/>
      <c r="B151" s="348"/>
      <c r="C151" s="348"/>
      <c r="D151" s="348"/>
      <c r="E151" s="348"/>
      <c r="F151" s="349"/>
      <c r="G151" s="350"/>
      <c r="H151" s="351"/>
      <c r="I151" s="350"/>
      <c r="J151" s="352"/>
      <c r="M151" s="130"/>
    </row>
    <row r="152" spans="1:13" ht="12.75" customHeight="1" thickBot="1" x14ac:dyDescent="0.3">
      <c r="A152" s="407" t="s">
        <v>49</v>
      </c>
      <c r="B152" s="408"/>
      <c r="C152" s="353"/>
      <c r="D152" s="353"/>
      <c r="E152" s="354"/>
      <c r="F152" s="355"/>
      <c r="G152" s="356"/>
      <c r="H152" s="357"/>
      <c r="I152" s="356"/>
      <c r="J152" s="358"/>
    </row>
    <row r="153" spans="1:13" ht="12.75" customHeight="1" x14ac:dyDescent="0.2">
      <c r="A153" s="296"/>
      <c r="B153" s="296"/>
      <c r="C153" s="296"/>
      <c r="D153" s="296"/>
      <c r="E153" s="297"/>
      <c r="F153" s="298"/>
      <c r="G153" s="299"/>
      <c r="H153" s="300"/>
      <c r="I153" s="299"/>
      <c r="J153" s="296"/>
    </row>
    <row r="154" spans="1:13" ht="12.75" customHeight="1" x14ac:dyDescent="0.2">
      <c r="A154" s="301"/>
      <c r="B154" s="301"/>
      <c r="C154" s="301"/>
      <c r="D154" s="301"/>
      <c r="E154" s="301"/>
      <c r="F154" s="302"/>
      <c r="G154" s="303"/>
      <c r="H154" s="304"/>
      <c r="I154" s="303"/>
      <c r="J154" s="301"/>
    </row>
    <row r="155" spans="1:13" ht="12.75" customHeight="1" x14ac:dyDescent="0.2">
      <c r="A155" s="301"/>
      <c r="B155" s="305"/>
      <c r="C155" s="301"/>
      <c r="D155" s="301"/>
      <c r="E155" s="301"/>
      <c r="F155" s="302"/>
      <c r="G155" s="303"/>
      <c r="H155" s="304"/>
      <c r="I155" s="303"/>
      <c r="J155" s="301"/>
    </row>
    <row r="156" spans="1:13" ht="12.75" customHeight="1" x14ac:dyDescent="0.2">
      <c r="A156" s="301"/>
      <c r="B156" s="301"/>
      <c r="C156" s="301"/>
      <c r="D156" s="301"/>
      <c r="E156" s="301"/>
      <c r="F156" s="302"/>
      <c r="G156" s="303"/>
      <c r="H156" s="304"/>
      <c r="I156" s="303"/>
      <c r="J156" s="301"/>
    </row>
    <row r="157" spans="1:13" ht="12.75" customHeight="1" x14ac:dyDescent="0.2">
      <c r="A157" s="301"/>
      <c r="B157" s="301"/>
      <c r="C157" s="301"/>
      <c r="D157" s="301"/>
      <c r="E157" s="301"/>
      <c r="F157" s="302"/>
      <c r="G157" s="303"/>
      <c r="H157" s="304"/>
      <c r="I157" s="303"/>
      <c r="J157" s="301"/>
    </row>
    <row r="158" spans="1:13" ht="12.75" customHeight="1" x14ac:dyDescent="0.2">
      <c r="A158" s="301"/>
      <c r="B158" s="301"/>
      <c r="C158" s="301"/>
      <c r="D158" s="301"/>
      <c r="E158" s="301"/>
      <c r="F158" s="302"/>
      <c r="G158" s="303"/>
      <c r="H158" s="304"/>
      <c r="I158" s="303"/>
      <c r="J158" s="301"/>
    </row>
    <row r="159" spans="1:13" ht="12.75" customHeight="1" x14ac:dyDescent="0.2">
      <c r="A159" s="306"/>
      <c r="B159" s="306"/>
      <c r="C159" s="306"/>
      <c r="D159" s="306"/>
      <c r="E159" s="306"/>
      <c r="F159" s="307"/>
      <c r="G159" s="308"/>
      <c r="H159" s="309"/>
      <c r="I159" s="307"/>
      <c r="J159" s="306"/>
    </row>
    <row r="160" spans="1:13" ht="12.75" customHeight="1" x14ac:dyDescent="0.2">
      <c r="A160" s="311"/>
      <c r="B160" s="311"/>
      <c r="C160" s="311"/>
      <c r="D160" s="311"/>
      <c r="E160" s="311"/>
      <c r="F160" s="312"/>
      <c r="G160" s="312"/>
      <c r="H160" s="312"/>
      <c r="I160" s="312"/>
      <c r="J160" s="311"/>
    </row>
    <row r="161" spans="1:10" ht="12.75" customHeight="1" x14ac:dyDescent="0.25">
      <c r="A161" s="110"/>
      <c r="B161" s="111"/>
      <c r="E161" s="163"/>
      <c r="F161" s="74"/>
      <c r="G161" s="74"/>
      <c r="H161" s="74"/>
      <c r="I161" s="310"/>
      <c r="J161" s="258"/>
    </row>
    <row r="162" spans="1:10" ht="13.5" customHeight="1" x14ac:dyDescent="0.25">
      <c r="A162" s="110"/>
      <c r="B162" s="111"/>
      <c r="C162" s="162"/>
      <c r="E162" s="163"/>
      <c r="I162" s="74"/>
      <c r="J162" s="258"/>
    </row>
    <row r="163" spans="1:10" ht="15.75" customHeight="1" x14ac:dyDescent="0.2">
      <c r="A163" s="23"/>
      <c r="B163" s="162"/>
      <c r="C163" s="165"/>
      <c r="D163" s="23"/>
      <c r="E163" s="164"/>
      <c r="F163" s="23"/>
      <c r="G163" s="23"/>
      <c r="H163" s="23"/>
      <c r="I163" s="23"/>
      <c r="J163" s="23"/>
    </row>
    <row r="164" spans="1:10" ht="15.75" customHeight="1" x14ac:dyDescent="0.2">
      <c r="A164" s="23"/>
      <c r="B164" s="112"/>
      <c r="C164" s="23"/>
      <c r="D164" s="23"/>
      <c r="E164" s="164"/>
      <c r="F164" s="23"/>
      <c r="G164" s="23"/>
      <c r="H164" s="23"/>
      <c r="I164" s="23"/>
      <c r="J164" s="23"/>
    </row>
    <row r="165" spans="1:10" ht="12.75" customHeight="1" x14ac:dyDescent="0.2">
      <c r="A165" s="23"/>
      <c r="B165" s="23"/>
      <c r="C165" s="23"/>
      <c r="D165" s="23"/>
      <c r="E165" s="164"/>
      <c r="F165" s="23"/>
      <c r="G165" s="23"/>
      <c r="H165" s="23"/>
      <c r="I165" s="23"/>
      <c r="J165" s="23"/>
    </row>
    <row r="166" spans="1:10" ht="12.75" customHeight="1" x14ac:dyDescent="0.2">
      <c r="A166" s="23"/>
      <c r="B166" s="23"/>
      <c r="C166" s="23"/>
      <c r="D166" s="23"/>
      <c r="E166" s="164"/>
      <c r="F166" s="23"/>
      <c r="G166" s="23"/>
      <c r="H166" s="23"/>
      <c r="I166" s="23"/>
      <c r="J166" s="23"/>
    </row>
    <row r="167" spans="1:10" ht="12.75" customHeight="1" x14ac:dyDescent="0.2">
      <c r="A167" s="23"/>
      <c r="B167" s="23"/>
      <c r="C167" s="23"/>
      <c r="D167" s="23"/>
      <c r="E167" s="164"/>
      <c r="F167" s="23"/>
      <c r="G167" s="23"/>
      <c r="H167" s="23"/>
      <c r="I167" s="23"/>
      <c r="J167" s="23"/>
    </row>
    <row r="168" spans="1:10" ht="15.75" customHeight="1" x14ac:dyDescent="0.25">
      <c r="A168" s="345"/>
      <c r="B168" s="345"/>
      <c r="C168" s="23"/>
      <c r="D168" s="23"/>
      <c r="E168" s="164"/>
      <c r="F168" s="23"/>
      <c r="G168" s="23"/>
      <c r="H168" s="23"/>
      <c r="I168" s="23"/>
      <c r="J168" s="23"/>
    </row>
    <row r="169" spans="1:10" ht="15.75" x14ac:dyDescent="0.25">
      <c r="A169" s="345"/>
      <c r="B169" s="345"/>
      <c r="E169" s="163"/>
      <c r="I169" s="346"/>
      <c r="J169" s="346"/>
    </row>
    <row r="170" spans="1:10" ht="16.5" customHeight="1" x14ac:dyDescent="0.25">
      <c r="E170" s="163" t="s">
        <v>96</v>
      </c>
      <c r="J170" s="330"/>
    </row>
  </sheetData>
  <mergeCells count="91">
    <mergeCell ref="B126:C126"/>
    <mergeCell ref="B122:C122"/>
    <mergeCell ref="B102:C102"/>
    <mergeCell ref="B97:C97"/>
    <mergeCell ref="B100:C100"/>
    <mergeCell ref="B99:C99"/>
    <mergeCell ref="B124:C124"/>
    <mergeCell ref="B125:C125"/>
    <mergeCell ref="B121:C121"/>
    <mergeCell ref="B123:C123"/>
    <mergeCell ref="B113:C113"/>
    <mergeCell ref="B119:C119"/>
    <mergeCell ref="B110:C110"/>
    <mergeCell ref="B111:C111"/>
    <mergeCell ref="B112:C112"/>
    <mergeCell ref="B108:C108"/>
    <mergeCell ref="B109:C109"/>
    <mergeCell ref="A152:B152"/>
    <mergeCell ref="B131:C131"/>
    <mergeCell ref="B127:C127"/>
    <mergeCell ref="B128:C128"/>
    <mergeCell ref="B129:C129"/>
    <mergeCell ref="B141:C141"/>
    <mergeCell ref="B139:C139"/>
    <mergeCell ref="B137:C137"/>
    <mergeCell ref="B138:C138"/>
    <mergeCell ref="B135:C135"/>
    <mergeCell ref="B130:C130"/>
    <mergeCell ref="B132:C132"/>
    <mergeCell ref="B140:C140"/>
    <mergeCell ref="B134:C134"/>
    <mergeCell ref="B133:C133"/>
    <mergeCell ref="B106:C106"/>
    <mergeCell ref="B107:C107"/>
    <mergeCell ref="B93:C93"/>
    <mergeCell ref="B85:C85"/>
    <mergeCell ref="B86:C86"/>
    <mergeCell ref="B91:C91"/>
    <mergeCell ref="B103:C103"/>
    <mergeCell ref="B105:C105"/>
    <mergeCell ref="B104:C104"/>
    <mergeCell ref="B92:C92"/>
    <mergeCell ref="B98:C98"/>
    <mergeCell ref="B89:C89"/>
    <mergeCell ref="B90:C90"/>
    <mergeCell ref="B120:C120"/>
    <mergeCell ref="B118:C118"/>
    <mergeCell ref="B114:C114"/>
    <mergeCell ref="B115:C115"/>
    <mergeCell ref="B116:C116"/>
    <mergeCell ref="B117:C117"/>
    <mergeCell ref="A2:J2"/>
    <mergeCell ref="A4:B4"/>
    <mergeCell ref="A6:B6"/>
    <mergeCell ref="A7:B7"/>
    <mergeCell ref="C4:J4"/>
    <mergeCell ref="C6:J6"/>
    <mergeCell ref="C7:J7"/>
    <mergeCell ref="A5:B5"/>
    <mergeCell ref="B52:C52"/>
    <mergeCell ref="B37:C37"/>
    <mergeCell ref="B68:C68"/>
    <mergeCell ref="B87:C87"/>
    <mergeCell ref="B56:C56"/>
    <mergeCell ref="B50:C50"/>
    <mergeCell ref="B66:C66"/>
    <mergeCell ref="B67:C67"/>
    <mergeCell ref="B57:C57"/>
    <mergeCell ref="B65:C65"/>
    <mergeCell ref="B63:C63"/>
    <mergeCell ref="B60:C60"/>
    <mergeCell ref="B62:C62"/>
    <mergeCell ref="B59:C59"/>
    <mergeCell ref="B80:C80"/>
    <mergeCell ref="B76:C76"/>
    <mergeCell ref="B71:C71"/>
    <mergeCell ref="B75:C75"/>
    <mergeCell ref="B74:C74"/>
    <mergeCell ref="B69:C69"/>
    <mergeCell ref="B70:C70"/>
    <mergeCell ref="B72:C72"/>
    <mergeCell ref="B73:C73"/>
    <mergeCell ref="B77:C77"/>
    <mergeCell ref="B79:C79"/>
    <mergeCell ref="B101:C101"/>
    <mergeCell ref="B96:C96"/>
    <mergeCell ref="B94:C94"/>
    <mergeCell ref="B81:C81"/>
    <mergeCell ref="B82:C82"/>
    <mergeCell ref="B83:C83"/>
    <mergeCell ref="B84:C84"/>
  </mergeCells>
  <phoneticPr fontId="0" type="noConversion"/>
  <dataValidations xWindow="221" yWindow="274" count="16">
    <dataValidation type="list" allowBlank="1" showInputMessage="1" showErrorMessage="1" promptTitle="LV Bushing" prompt="Select if Autofilled LV Bushing Type is incorrect." sqref="L59" xr:uid="{00000000-0002-0000-0300-000000000000}">
      <formula1>LV_Bushings</formula1>
    </dataValidation>
    <dataValidation type="list" allowBlank="1" showInputMessage="1" showErrorMessage="1" promptTitle="HV Bushing" prompt="Select if Autofilled HV Bushing Type is incorrect." sqref="L56" xr:uid="{00000000-0002-0000-0300-000001000000}">
      <formula1>HV_Bushing</formula1>
    </dataValidation>
    <dataValidation type="list" allowBlank="1" showInputMessage="1" showErrorMessage="1" promptTitle="Tap Selector" prompt="Select if Autofilled Tap Selector Type is incorrect." sqref="L62" xr:uid="{00000000-0002-0000-0300-000002000000}">
      <formula1>Tap_selector</formula1>
    </dataValidation>
    <dataValidation type="custom" allowBlank="1" showInputMessage="1" showErrorMessage="1" sqref="E98" xr:uid="{06792ACD-63C4-4D4D-B76C-73C3FA33DBB1}">
      <formula1>AND(E89=0,E93=0,LEFT(B56,7)&lt;&gt;"Plug-in")</formula1>
    </dataValidation>
    <dataValidation type="custom" allowBlank="1" showInputMessage="1" showErrorMessage="1" sqref="E93" xr:uid="{C665FB1F-B1C5-4A95-BDA3-681967DAE2CA}">
      <formula1>E89=0</formula1>
    </dataValidation>
    <dataValidation allowBlank="1" showInputMessage="1" showErrorMessage="1" promptTitle="Cover Plate Thickness" prompt="Type in if special values are to be for this contract/tender._x000a_General values are as follows,_x000a_if capacity &lt; 400kVA ; 4mm_x000a_if capacity &lt; 800kVA ; 6mm_x000a_else 10mm" sqref="M50" xr:uid="{FF5753C7-7657-4E03-A48F-846EFCDF318E}"/>
    <dataValidation allowBlank="1" showInputMessage="1" showErrorMessage="1" promptTitle="Base Thickness" prompt="Type in if special values are to be for this contract/tender._x000a_General values are as follows,_x000a_if capacity &lt; 400kVA ; 4mm_x000a_if capacity &lt; 1000kVA ; 6mm_x000a_else 10mm" sqref="M51:M52" xr:uid="{CEFC906F-BA05-46AD-90CD-FE6B5845F9B3}"/>
    <dataValidation allowBlank="1" showInputMessage="1" showErrorMessage="1" promptTitle="Tank Wall Thickness" prompt="Type in if special values are to be for this contract/tender._x000a_General values are as follows,_x000a_if capacity &lt; 5000kVA ; 6mm_x000a_else 10mm" sqref="M53" xr:uid="{6AAC15F1-B80B-4A7F-AFEC-7BFB2DE09B9B}"/>
    <dataValidation allowBlank="1" showInputMessage="1" showErrorMessage="1" prompt="1 if Hermatically Sealed Type_x000a_" sqref="E65" xr:uid="{3B9CBA9B-ED5F-4B70-AB47-5D9A26389C03}"/>
    <dataValidation allowBlank="1" showInputMessage="1" showErrorMessage="1" prompt="1 if Conservator Type" sqref="E66" xr:uid="{10B952AD-85FE-46BB-BEDD-0089903479DF}"/>
    <dataValidation allowBlank="1" showInputMessage="1" showErrorMessage="1" prompt="1 if Hermatically Sealed Type" sqref="E67" xr:uid="{DAA9A0F2-84BD-4075-A84F-D77288774042}"/>
    <dataValidation allowBlank="1" showInputMessage="1" showErrorMessage="1" prompt="1 if HV Link Box is there" sqref="E68" xr:uid="{8729D8F1-85A0-4418-B857-3DD4A4ED7AA5}"/>
    <dataValidation allowBlank="1" showInputMessage="1" showErrorMessage="1" prompt="1 if Conservator Type. Used before Buchholz Relay." sqref="E69" xr:uid="{CB16534F-4D36-4B1E-BCCC-463EB6D00A94}"/>
    <dataValidation allowBlank="1" showInputMessage="1" showErrorMessage="1" prompt="2 if Conservator Type. Used as Filler/Drain Valves." sqref="E70" xr:uid="{827013A6-E5B4-4DA7-8C3B-9C941A7C44E8}"/>
    <dataValidation allowBlank="1" showInputMessage="1" showErrorMessage="1" prompt="2 per Panel Type Radiator." sqref="E71" xr:uid="{9435D5DE-F680-46DB-B6D8-A0B7F1A3A065}"/>
    <dataValidation allowBlank="1" showInputMessage="1" showErrorMessage="1" prompt="1 if Conservator Type. Used as conservator Drain valve" sqref="E72" xr:uid="{90C97D37-78DF-4D39-8E01-41E61F035835}"/>
  </dataValidations>
  <printOptions horizontalCentered="1" verticalCentered="1"/>
  <pageMargins left="0.35433070866141736" right="0.19685039370078741" top="0.27559055118110237" bottom="0.31496062992125984" header="0" footer="0"/>
  <pageSetup paperSize="9" scale="85" fitToHeight="0" orientation="portrait" r:id="rId1"/>
  <headerFooter alignWithMargins="0">
    <oddFooter>&amp;L&amp;Z&amp;F&amp;R&amp;D &amp;T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xWindow="221" yWindow="274" count="3">
        <x14:dataValidation type="list" allowBlank="1" showInputMessage="1" showErrorMessage="1" promptTitle="No. of HV Bushings" prompt="Select if Autofilled Number of HV Bushings is incorrect." xr:uid="{909B6650-F743-4D06-820F-D7BEEB1E28F0}">
          <x14:formula1>
            <xm:f>Q!$H$311:$H$312</xm:f>
          </x14:formula1>
          <xm:sqref>M56</xm:sqref>
        </x14:dataValidation>
        <x14:dataValidation type="list" allowBlank="1" showInputMessage="1" showErrorMessage="1" promptTitle="No. of LV Bushings" prompt="Select if Autofilled Number of LV Bushings is incorrect." xr:uid="{F7927377-AB4C-491D-8AEB-25FB1251B145}">
          <x14:formula1>
            <xm:f>Q!$H$330:$H$333</xm:f>
          </x14:formula1>
          <xm:sqref>M59</xm:sqref>
        </x14:dataValidation>
        <x14:dataValidation type="list" allowBlank="1" showInputMessage="1" showErrorMessage="1" promptTitle="No. of Tap Selectors" prompt="Select if Autofilled value is incorrect." xr:uid="{04C957BF-D76B-433A-8A89-6D645D2A5DC1}">
          <x14:formula1>
            <xm:f>Q!$H$348:$H$349</xm:f>
          </x14:formula1>
          <xm:sqref>M62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8120-C854-48DE-9015-9463A8C167EA}">
  <sheetPr codeName="Sheet3"/>
  <dimension ref="A2:C91"/>
  <sheetViews>
    <sheetView workbookViewId="0">
      <selection activeCell="H34" sqref="H34"/>
    </sheetView>
  </sheetViews>
  <sheetFormatPr defaultRowHeight="12.75" x14ac:dyDescent="0.2"/>
  <cols>
    <col min="1" max="1" width="7.85546875" customWidth="1"/>
    <col min="2" max="2" width="18.28515625" customWidth="1"/>
    <col min="3" max="3" width="22.42578125" customWidth="1"/>
  </cols>
  <sheetData>
    <row r="2" spans="1:3" ht="13.15" customHeight="1" x14ac:dyDescent="0.2">
      <c r="A2" s="409" t="s">
        <v>896</v>
      </c>
      <c r="B2" s="260" t="s">
        <v>599</v>
      </c>
      <c r="C2" s="260" t="s">
        <v>600</v>
      </c>
    </row>
    <row r="3" spans="1:3" x14ac:dyDescent="0.2">
      <c r="A3" s="410"/>
      <c r="B3" s="260" t="s">
        <v>601</v>
      </c>
      <c r="C3" s="261" t="s">
        <v>602</v>
      </c>
    </row>
    <row r="4" spans="1:3" x14ac:dyDescent="0.2">
      <c r="A4" s="410"/>
      <c r="B4" s="260" t="s">
        <v>898</v>
      </c>
      <c r="C4" s="261" t="s">
        <v>602</v>
      </c>
    </row>
    <row r="5" spans="1:3" x14ac:dyDescent="0.2">
      <c r="A5" s="410"/>
      <c r="B5" s="260" t="s">
        <v>824</v>
      </c>
      <c r="C5" s="260" t="s">
        <v>602</v>
      </c>
    </row>
    <row r="6" spans="1:3" x14ac:dyDescent="0.2">
      <c r="A6" s="410"/>
      <c r="B6" s="260" t="s">
        <v>603</v>
      </c>
      <c r="C6" s="261" t="s">
        <v>602</v>
      </c>
    </row>
    <row r="7" spans="1:3" x14ac:dyDescent="0.2">
      <c r="A7" s="410"/>
      <c r="B7" s="260" t="s">
        <v>604</v>
      </c>
      <c r="C7" s="261" t="s">
        <v>602</v>
      </c>
    </row>
    <row r="8" spans="1:3" x14ac:dyDescent="0.2">
      <c r="A8" s="410"/>
      <c r="B8" s="260" t="s">
        <v>605</v>
      </c>
      <c r="C8" s="261" t="s">
        <v>606</v>
      </c>
    </row>
    <row r="9" spans="1:3" x14ac:dyDescent="0.2">
      <c r="A9" s="410"/>
      <c r="B9" s="260" t="s">
        <v>899</v>
      </c>
      <c r="C9" s="261" t="s">
        <v>606</v>
      </c>
    </row>
    <row r="10" spans="1:3" x14ac:dyDescent="0.2">
      <c r="A10" s="410"/>
      <c r="B10" s="260" t="s">
        <v>825</v>
      </c>
      <c r="C10" s="260" t="s">
        <v>606</v>
      </c>
    </row>
    <row r="11" spans="1:3" x14ac:dyDescent="0.2">
      <c r="A11" s="410"/>
      <c r="B11" s="260" t="s">
        <v>607</v>
      </c>
      <c r="C11" s="261" t="s">
        <v>606</v>
      </c>
    </row>
    <row r="12" spans="1:3" x14ac:dyDescent="0.2">
      <c r="A12" s="410"/>
      <c r="B12" s="260" t="s">
        <v>608</v>
      </c>
      <c r="C12" s="261" t="s">
        <v>609</v>
      </c>
    </row>
    <row r="13" spans="1:3" x14ac:dyDescent="0.2">
      <c r="A13" s="410"/>
      <c r="B13" s="260" t="s">
        <v>610</v>
      </c>
      <c r="C13" s="261" t="s">
        <v>609</v>
      </c>
    </row>
    <row r="14" spans="1:3" x14ac:dyDescent="0.2">
      <c r="A14" s="410"/>
      <c r="B14" s="260" t="s">
        <v>900</v>
      </c>
      <c r="C14" s="261" t="s">
        <v>609</v>
      </c>
    </row>
    <row r="15" spans="1:3" x14ac:dyDescent="0.2">
      <c r="A15" s="410"/>
      <c r="B15" s="260" t="s">
        <v>826</v>
      </c>
      <c r="C15" s="260" t="s">
        <v>609</v>
      </c>
    </row>
    <row r="16" spans="1:3" x14ac:dyDescent="0.2">
      <c r="A16" s="410"/>
      <c r="B16" s="260" t="s">
        <v>714</v>
      </c>
      <c r="C16" s="261" t="s">
        <v>609</v>
      </c>
    </row>
    <row r="17" spans="1:3" x14ac:dyDescent="0.2">
      <c r="A17" s="410"/>
      <c r="B17" s="260" t="s">
        <v>715</v>
      </c>
      <c r="C17" s="261" t="s">
        <v>716</v>
      </c>
    </row>
    <row r="18" spans="1:3" x14ac:dyDescent="0.2">
      <c r="A18" s="410"/>
      <c r="B18" s="260" t="s">
        <v>717</v>
      </c>
      <c r="C18" s="261" t="s">
        <v>716</v>
      </c>
    </row>
    <row r="19" spans="1:3" x14ac:dyDescent="0.2">
      <c r="A19" s="410"/>
      <c r="B19" s="260" t="s">
        <v>901</v>
      </c>
      <c r="C19" s="261" t="s">
        <v>716</v>
      </c>
    </row>
    <row r="20" spans="1:3" x14ac:dyDescent="0.2">
      <c r="A20" s="410"/>
      <c r="B20" s="260" t="s">
        <v>827</v>
      </c>
      <c r="C20" s="260" t="s">
        <v>716</v>
      </c>
    </row>
    <row r="21" spans="1:3" x14ac:dyDescent="0.2">
      <c r="A21" s="410"/>
      <c r="B21" s="260" t="s">
        <v>718</v>
      </c>
      <c r="C21" s="261" t="s">
        <v>716</v>
      </c>
    </row>
    <row r="22" spans="1:3" x14ac:dyDescent="0.2">
      <c r="A22" s="410"/>
      <c r="B22" s="260" t="s">
        <v>719</v>
      </c>
      <c r="C22" s="261" t="s">
        <v>720</v>
      </c>
    </row>
    <row r="23" spans="1:3" x14ac:dyDescent="0.2">
      <c r="A23" s="410"/>
      <c r="B23" s="260" t="s">
        <v>721</v>
      </c>
      <c r="C23" s="261" t="s">
        <v>720</v>
      </c>
    </row>
    <row r="24" spans="1:3" x14ac:dyDescent="0.2">
      <c r="A24" s="410"/>
      <c r="B24" s="260" t="s">
        <v>902</v>
      </c>
      <c r="C24" s="261" t="s">
        <v>720</v>
      </c>
    </row>
    <row r="25" spans="1:3" x14ac:dyDescent="0.2">
      <c r="A25" s="410"/>
      <c r="B25" s="260" t="s">
        <v>828</v>
      </c>
      <c r="C25" s="260" t="s">
        <v>724</v>
      </c>
    </row>
    <row r="26" spans="1:3" x14ac:dyDescent="0.2">
      <c r="A26" s="410"/>
      <c r="B26" s="260" t="s">
        <v>722</v>
      </c>
      <c r="C26" s="261" t="s">
        <v>720</v>
      </c>
    </row>
    <row r="27" spans="1:3" x14ac:dyDescent="0.2">
      <c r="A27" s="410"/>
      <c r="B27" s="260" t="s">
        <v>723</v>
      </c>
      <c r="C27" s="261" t="s">
        <v>724</v>
      </c>
    </row>
    <row r="28" spans="1:3" x14ac:dyDescent="0.2">
      <c r="A28" s="410"/>
      <c r="B28" s="260" t="s">
        <v>725</v>
      </c>
      <c r="C28" s="261" t="s">
        <v>724</v>
      </c>
    </row>
    <row r="29" spans="1:3" x14ac:dyDescent="0.2">
      <c r="A29" s="410"/>
      <c r="B29" s="260" t="s">
        <v>903</v>
      </c>
      <c r="C29" s="261" t="s">
        <v>724</v>
      </c>
    </row>
    <row r="30" spans="1:3" x14ac:dyDescent="0.2">
      <c r="A30" s="410"/>
      <c r="B30" s="260" t="s">
        <v>829</v>
      </c>
      <c r="C30" s="260" t="s">
        <v>724</v>
      </c>
    </row>
    <row r="31" spans="1:3" x14ac:dyDescent="0.2">
      <c r="A31" s="410"/>
      <c r="B31" s="260" t="s">
        <v>726</v>
      </c>
      <c r="C31" s="261" t="s">
        <v>724</v>
      </c>
    </row>
    <row r="32" spans="1:3" x14ac:dyDescent="0.2">
      <c r="A32" s="411" t="s">
        <v>897</v>
      </c>
      <c r="B32" s="385" t="s">
        <v>904</v>
      </c>
      <c r="C32" s="386" t="s">
        <v>934</v>
      </c>
    </row>
    <row r="33" spans="1:3" x14ac:dyDescent="0.2">
      <c r="A33" s="411"/>
      <c r="B33" s="385" t="s">
        <v>905</v>
      </c>
      <c r="C33" s="386" t="s">
        <v>934</v>
      </c>
    </row>
    <row r="34" spans="1:3" x14ac:dyDescent="0.2">
      <c r="A34" s="411"/>
      <c r="B34" s="385" t="s">
        <v>906</v>
      </c>
      <c r="C34" s="386" t="s">
        <v>934</v>
      </c>
    </row>
    <row r="35" spans="1:3" x14ac:dyDescent="0.2">
      <c r="A35" s="411"/>
      <c r="B35" s="385" t="s">
        <v>907</v>
      </c>
      <c r="C35" s="386" t="s">
        <v>934</v>
      </c>
    </row>
    <row r="36" spans="1:3" x14ac:dyDescent="0.2">
      <c r="A36" s="411"/>
      <c r="B36" s="385" t="s">
        <v>908</v>
      </c>
      <c r="C36" s="386" t="s">
        <v>934</v>
      </c>
    </row>
    <row r="37" spans="1:3" x14ac:dyDescent="0.2">
      <c r="A37" s="411"/>
      <c r="B37" s="385" t="s">
        <v>909</v>
      </c>
      <c r="C37" s="386" t="s">
        <v>934</v>
      </c>
    </row>
    <row r="38" spans="1:3" x14ac:dyDescent="0.2">
      <c r="A38" s="411"/>
      <c r="B38" s="385" t="s">
        <v>910</v>
      </c>
      <c r="C38" s="386" t="s">
        <v>934</v>
      </c>
    </row>
    <row r="39" spans="1:3" x14ac:dyDescent="0.2">
      <c r="A39" s="411"/>
      <c r="B39" s="385" t="s">
        <v>911</v>
      </c>
      <c r="C39" s="386" t="s">
        <v>934</v>
      </c>
    </row>
    <row r="40" spans="1:3" x14ac:dyDescent="0.2">
      <c r="A40" s="411"/>
      <c r="B40" s="385" t="s">
        <v>912</v>
      </c>
      <c r="C40" s="385" t="s">
        <v>934</v>
      </c>
    </row>
    <row r="41" spans="1:3" x14ac:dyDescent="0.2">
      <c r="A41" s="411"/>
      <c r="B41" s="385" t="s">
        <v>913</v>
      </c>
      <c r="C41" s="386" t="s">
        <v>934</v>
      </c>
    </row>
    <row r="42" spans="1:3" x14ac:dyDescent="0.2">
      <c r="A42" s="411"/>
      <c r="B42" s="385" t="s">
        <v>914</v>
      </c>
      <c r="C42" s="386" t="s">
        <v>935</v>
      </c>
    </row>
    <row r="43" spans="1:3" x14ac:dyDescent="0.2">
      <c r="A43" s="411"/>
      <c r="B43" s="385" t="s">
        <v>915</v>
      </c>
      <c r="C43" s="386" t="s">
        <v>935</v>
      </c>
    </row>
    <row r="44" spans="1:3" x14ac:dyDescent="0.2">
      <c r="A44" s="411"/>
      <c r="B44" s="385" t="s">
        <v>916</v>
      </c>
      <c r="C44" s="386" t="s">
        <v>935</v>
      </c>
    </row>
    <row r="45" spans="1:3" x14ac:dyDescent="0.2">
      <c r="A45" s="411"/>
      <c r="B45" s="385" t="s">
        <v>917</v>
      </c>
      <c r="C45" s="385" t="s">
        <v>935</v>
      </c>
    </row>
    <row r="46" spans="1:3" x14ac:dyDescent="0.2">
      <c r="A46" s="411"/>
      <c r="B46" s="385" t="s">
        <v>918</v>
      </c>
      <c r="C46" s="386" t="s">
        <v>935</v>
      </c>
    </row>
    <row r="47" spans="1:3" x14ac:dyDescent="0.2">
      <c r="A47" s="411"/>
      <c r="B47" s="385" t="s">
        <v>919</v>
      </c>
      <c r="C47" s="386" t="s">
        <v>935</v>
      </c>
    </row>
    <row r="48" spans="1:3" x14ac:dyDescent="0.2">
      <c r="A48" s="411"/>
      <c r="B48" s="385" t="s">
        <v>920</v>
      </c>
      <c r="C48" s="386" t="s">
        <v>935</v>
      </c>
    </row>
    <row r="49" spans="1:3" x14ac:dyDescent="0.2">
      <c r="A49" s="411"/>
      <c r="B49" s="385" t="s">
        <v>921</v>
      </c>
      <c r="C49" s="386" t="s">
        <v>935</v>
      </c>
    </row>
    <row r="50" spans="1:3" x14ac:dyDescent="0.2">
      <c r="A50" s="411"/>
      <c r="B50" s="385" t="s">
        <v>922</v>
      </c>
      <c r="C50" s="385" t="s">
        <v>935</v>
      </c>
    </row>
    <row r="51" spans="1:3" x14ac:dyDescent="0.2">
      <c r="A51" s="411"/>
      <c r="B51" s="385" t="s">
        <v>923</v>
      </c>
      <c r="C51" s="386" t="s">
        <v>935</v>
      </c>
    </row>
    <row r="52" spans="1:3" x14ac:dyDescent="0.2">
      <c r="A52" s="411"/>
      <c r="B52" s="385" t="s">
        <v>924</v>
      </c>
      <c r="C52" s="386" t="s">
        <v>936</v>
      </c>
    </row>
    <row r="53" spans="1:3" x14ac:dyDescent="0.2">
      <c r="A53" s="411"/>
      <c r="B53" s="385" t="s">
        <v>925</v>
      </c>
      <c r="C53" s="386" t="s">
        <v>936</v>
      </c>
    </row>
    <row r="54" spans="1:3" x14ac:dyDescent="0.2">
      <c r="A54" s="411"/>
      <c r="B54" s="385" t="s">
        <v>926</v>
      </c>
      <c r="C54" s="386" t="s">
        <v>936</v>
      </c>
    </row>
    <row r="55" spans="1:3" x14ac:dyDescent="0.2">
      <c r="A55" s="411"/>
      <c r="B55" s="385" t="s">
        <v>927</v>
      </c>
      <c r="C55" s="385" t="s">
        <v>937</v>
      </c>
    </row>
    <row r="56" spans="1:3" x14ac:dyDescent="0.2">
      <c r="A56" s="411"/>
      <c r="B56" s="385" t="s">
        <v>928</v>
      </c>
      <c r="C56" s="386" t="s">
        <v>936</v>
      </c>
    </row>
    <row r="57" spans="1:3" x14ac:dyDescent="0.2">
      <c r="A57" s="411"/>
      <c r="B57" s="385" t="s">
        <v>929</v>
      </c>
      <c r="C57" s="385" t="s">
        <v>937</v>
      </c>
    </row>
    <row r="58" spans="1:3" x14ac:dyDescent="0.2">
      <c r="A58" s="411"/>
      <c r="B58" s="385" t="s">
        <v>930</v>
      </c>
      <c r="C58" s="385" t="s">
        <v>937</v>
      </c>
    </row>
    <row r="59" spans="1:3" x14ac:dyDescent="0.2">
      <c r="A59" s="411"/>
      <c r="B59" s="385" t="s">
        <v>931</v>
      </c>
      <c r="C59" s="385" t="s">
        <v>937</v>
      </c>
    </row>
    <row r="60" spans="1:3" x14ac:dyDescent="0.2">
      <c r="A60" s="411"/>
      <c r="B60" s="385" t="s">
        <v>932</v>
      </c>
      <c r="C60" s="385" t="s">
        <v>937</v>
      </c>
    </row>
    <row r="61" spans="1:3" x14ac:dyDescent="0.2">
      <c r="A61" s="411"/>
      <c r="B61" s="385" t="s">
        <v>933</v>
      </c>
      <c r="C61" s="385" t="s">
        <v>937</v>
      </c>
    </row>
    <row r="62" spans="1:3" ht="13.15" customHeight="1" x14ac:dyDescent="0.2">
      <c r="A62" s="412" t="s">
        <v>968</v>
      </c>
      <c r="B62" s="260" t="s">
        <v>941</v>
      </c>
      <c r="C62" s="260" t="s">
        <v>960</v>
      </c>
    </row>
    <row r="63" spans="1:3" x14ac:dyDescent="0.2">
      <c r="A63" s="413"/>
      <c r="B63" s="260" t="s">
        <v>943</v>
      </c>
      <c r="C63" s="260" t="s">
        <v>960</v>
      </c>
    </row>
    <row r="64" spans="1:3" x14ac:dyDescent="0.2">
      <c r="A64" s="413"/>
      <c r="B64" s="260" t="s">
        <v>944</v>
      </c>
      <c r="C64" s="260" t="s">
        <v>961</v>
      </c>
    </row>
    <row r="65" spans="1:3" x14ac:dyDescent="0.2">
      <c r="A65" s="413"/>
      <c r="B65" s="260" t="s">
        <v>945</v>
      </c>
      <c r="C65" s="260" t="s">
        <v>962</v>
      </c>
    </row>
    <row r="66" spans="1:3" x14ac:dyDescent="0.2">
      <c r="A66" s="413"/>
      <c r="B66" s="260" t="s">
        <v>946</v>
      </c>
      <c r="C66" s="260" t="s">
        <v>963</v>
      </c>
    </row>
    <row r="67" spans="1:3" x14ac:dyDescent="0.2">
      <c r="A67" s="413"/>
      <c r="B67" s="260" t="s">
        <v>947</v>
      </c>
      <c r="C67" s="260" t="s">
        <v>964</v>
      </c>
    </row>
    <row r="68" spans="1:3" x14ac:dyDescent="0.2">
      <c r="A68" s="413"/>
      <c r="B68" s="260" t="s">
        <v>948</v>
      </c>
      <c r="C68" s="260" t="s">
        <v>965</v>
      </c>
    </row>
    <row r="69" spans="1:3" x14ac:dyDescent="0.2">
      <c r="A69" s="413"/>
      <c r="B69" s="260" t="s">
        <v>942</v>
      </c>
      <c r="C69" s="260" t="s">
        <v>966</v>
      </c>
    </row>
    <row r="70" spans="1:3" x14ac:dyDescent="0.2">
      <c r="A70" s="413"/>
      <c r="B70" s="260" t="s">
        <v>949</v>
      </c>
      <c r="C70" s="260" t="s">
        <v>967</v>
      </c>
    </row>
    <row r="71" spans="1:3" x14ac:dyDescent="0.2">
      <c r="A71" s="413"/>
      <c r="B71" s="260" t="s">
        <v>950</v>
      </c>
      <c r="C71" s="260" t="s">
        <v>955</v>
      </c>
    </row>
    <row r="72" spans="1:3" x14ac:dyDescent="0.2">
      <c r="A72" s="413"/>
      <c r="B72" s="260" t="s">
        <v>951</v>
      </c>
      <c r="C72" s="260" t="s">
        <v>956</v>
      </c>
    </row>
    <row r="73" spans="1:3" x14ac:dyDescent="0.2">
      <c r="A73" s="413"/>
      <c r="B73" s="260" t="s">
        <v>952</v>
      </c>
      <c r="C73" s="260" t="s">
        <v>957</v>
      </c>
    </row>
    <row r="74" spans="1:3" x14ac:dyDescent="0.2">
      <c r="A74" s="413"/>
      <c r="B74" s="260" t="s">
        <v>953</v>
      </c>
      <c r="C74" s="260" t="s">
        <v>958</v>
      </c>
    </row>
    <row r="75" spans="1:3" x14ac:dyDescent="0.2">
      <c r="A75" s="414"/>
      <c r="B75" s="260" t="s">
        <v>954</v>
      </c>
      <c r="C75" s="260" t="s">
        <v>959</v>
      </c>
    </row>
    <row r="76" spans="1:3" x14ac:dyDescent="0.2">
      <c r="A76" s="388"/>
    </row>
    <row r="77" spans="1:3" x14ac:dyDescent="0.2">
      <c r="A77" s="388"/>
    </row>
    <row r="78" spans="1:3" x14ac:dyDescent="0.2">
      <c r="A78" s="388"/>
    </row>
    <row r="79" spans="1:3" x14ac:dyDescent="0.2">
      <c r="A79" s="388"/>
    </row>
    <row r="80" spans="1:3" x14ac:dyDescent="0.2">
      <c r="A80" s="388"/>
    </row>
    <row r="81" spans="1:1" x14ac:dyDescent="0.2">
      <c r="A81" s="388"/>
    </row>
    <row r="82" spans="1:1" x14ac:dyDescent="0.2">
      <c r="A82" s="388"/>
    </row>
    <row r="83" spans="1:1" x14ac:dyDescent="0.2">
      <c r="A83" s="388"/>
    </row>
    <row r="84" spans="1:1" x14ac:dyDescent="0.2">
      <c r="A84" s="388"/>
    </row>
    <row r="85" spans="1:1" x14ac:dyDescent="0.2">
      <c r="A85" s="388"/>
    </row>
    <row r="86" spans="1:1" x14ac:dyDescent="0.2">
      <c r="A86" s="388"/>
    </row>
    <row r="87" spans="1:1" x14ac:dyDescent="0.2">
      <c r="A87" s="388"/>
    </row>
    <row r="88" spans="1:1" x14ac:dyDescent="0.2">
      <c r="A88" s="388"/>
    </row>
    <row r="89" spans="1:1" x14ac:dyDescent="0.2">
      <c r="A89" s="388"/>
    </row>
    <row r="90" spans="1:1" x14ac:dyDescent="0.2">
      <c r="A90" s="388"/>
    </row>
    <row r="91" spans="1:1" x14ac:dyDescent="0.2">
      <c r="A91" s="388"/>
    </row>
  </sheetData>
  <mergeCells count="3">
    <mergeCell ref="A2:A31"/>
    <mergeCell ref="A32:A61"/>
    <mergeCell ref="A62:A7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3:W68"/>
  <sheetViews>
    <sheetView zoomScaleNormal="100" workbookViewId="0">
      <selection activeCell="N22" sqref="N22"/>
    </sheetView>
  </sheetViews>
  <sheetFormatPr defaultColWidth="9.140625" defaultRowHeight="15" customHeight="1" x14ac:dyDescent="0.2"/>
  <cols>
    <col min="2" max="2" width="18.140625" customWidth="1"/>
    <col min="3" max="3" width="7.5703125" customWidth="1"/>
    <col min="4" max="4" width="17.42578125" customWidth="1"/>
    <col min="5" max="5" width="10.42578125" customWidth="1"/>
    <col min="6" max="6" width="7.7109375" customWidth="1"/>
    <col min="7" max="7" width="7.42578125" customWidth="1"/>
    <col min="8" max="8" width="6.28515625" customWidth="1"/>
    <col min="9" max="9" width="9" customWidth="1"/>
    <col min="10" max="10" width="8.42578125" customWidth="1"/>
    <col min="11" max="11" width="10" customWidth="1"/>
    <col min="15" max="15" width="9.85546875" customWidth="1"/>
  </cols>
  <sheetData>
    <row r="3" spans="1:23" ht="15" customHeight="1" x14ac:dyDescent="0.3">
      <c r="A3" s="482" t="s">
        <v>319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</row>
    <row r="4" spans="1:23" ht="15" customHeight="1" x14ac:dyDescent="0.2">
      <c r="A4" s="13"/>
    </row>
    <row r="5" spans="1:23" ht="15" customHeight="1" x14ac:dyDescent="0.3">
      <c r="A5" s="482" t="s">
        <v>72</v>
      </c>
      <c r="B5" s="482"/>
      <c r="C5" s="482"/>
      <c r="D5" s="482"/>
      <c r="E5" s="482"/>
      <c r="F5" s="482"/>
      <c r="G5" s="482"/>
      <c r="H5" s="482"/>
      <c r="I5" s="482"/>
      <c r="J5" s="482"/>
      <c r="K5" s="482"/>
    </row>
    <row r="6" spans="1:23" ht="15" customHeight="1" thickBot="1" x14ac:dyDescent="0.3">
      <c r="A6" s="14"/>
      <c r="C6" s="93"/>
      <c r="D6" s="93"/>
      <c r="E6" s="93"/>
      <c r="F6" s="93"/>
      <c r="G6" s="93"/>
      <c r="H6" s="93"/>
      <c r="I6" s="93"/>
      <c r="J6" s="93"/>
      <c r="K6" s="93"/>
    </row>
    <row r="7" spans="1:23" ht="15" customHeight="1" x14ac:dyDescent="0.25">
      <c r="A7" s="483" t="s">
        <v>73</v>
      </c>
      <c r="B7" s="484"/>
      <c r="C7" s="487" t="s">
        <v>1007</v>
      </c>
      <c r="D7" s="487"/>
      <c r="E7" s="487"/>
      <c r="F7" s="487"/>
      <c r="G7" s="487"/>
      <c r="H7" s="487"/>
      <c r="I7" s="487"/>
      <c r="J7" s="487"/>
      <c r="K7" s="488"/>
      <c r="M7" s="1"/>
      <c r="O7" s="14"/>
      <c r="P7" s="14"/>
      <c r="Q7" s="14"/>
      <c r="R7" s="14"/>
      <c r="S7" s="14"/>
      <c r="T7" s="14"/>
      <c r="U7" s="14"/>
      <c r="V7" s="14"/>
      <c r="W7" s="14"/>
    </row>
    <row r="8" spans="1:23" ht="15" customHeight="1" x14ac:dyDescent="0.2">
      <c r="A8" s="461" t="s">
        <v>380</v>
      </c>
      <c r="B8" s="462"/>
      <c r="C8" s="480" t="str">
        <f>C7</f>
        <v xml:space="preserve">STI Holdings – Tanzania project </v>
      </c>
      <c r="D8" s="480"/>
      <c r="E8" s="480"/>
      <c r="F8" s="480"/>
      <c r="G8" s="480"/>
      <c r="H8" s="480"/>
      <c r="I8" s="480"/>
      <c r="J8" s="480"/>
      <c r="K8" s="481"/>
      <c r="M8" s="1"/>
    </row>
    <row r="9" spans="1:23" ht="15" customHeight="1" thickBot="1" x14ac:dyDescent="0.25">
      <c r="A9" s="485" t="s">
        <v>381</v>
      </c>
      <c r="B9" s="486"/>
      <c r="C9" s="478"/>
      <c r="D9" s="479"/>
      <c r="E9" s="245" t="s">
        <v>406</v>
      </c>
      <c r="F9" s="491" t="s">
        <v>991</v>
      </c>
      <c r="G9" s="491"/>
      <c r="H9" s="491"/>
      <c r="I9" s="244" t="s">
        <v>74</v>
      </c>
      <c r="J9" s="489">
        <f ca="1">TODAY()</f>
        <v>45076</v>
      </c>
      <c r="K9" s="490"/>
      <c r="O9" s="1"/>
      <c r="P9" s="8"/>
    </row>
    <row r="10" spans="1:23" ht="9" customHeight="1" thickBot="1" x14ac:dyDescent="0.25">
      <c r="A10" s="15"/>
    </row>
    <row r="11" spans="1:23" ht="30" customHeight="1" thickBot="1" x14ac:dyDescent="0.25">
      <c r="A11" s="500" t="s">
        <v>75</v>
      </c>
      <c r="B11" s="501"/>
      <c r="C11" s="501"/>
      <c r="D11" s="501"/>
      <c r="E11" s="242" t="s">
        <v>42</v>
      </c>
      <c r="F11" s="501" t="s">
        <v>76</v>
      </c>
      <c r="G11" s="501"/>
      <c r="H11" s="501" t="s">
        <v>77</v>
      </c>
      <c r="I11" s="501"/>
      <c r="J11" s="501" t="s">
        <v>382</v>
      </c>
      <c r="K11" s="506"/>
    </row>
    <row r="12" spans="1:23" ht="15" customHeight="1" x14ac:dyDescent="0.2">
      <c r="A12" s="507" t="s">
        <v>78</v>
      </c>
      <c r="B12" s="508"/>
      <c r="C12" s="508"/>
      <c r="D12" s="508"/>
      <c r="E12" s="257" t="s">
        <v>66</v>
      </c>
      <c r="F12" s="509">
        <f ca="1">IF(M12=0,Q!B46,M12)</f>
        <v>100</v>
      </c>
      <c r="G12" s="509"/>
      <c r="H12" s="509">
        <f ca="1">F12</f>
        <v>100</v>
      </c>
      <c r="I12" s="509"/>
      <c r="J12" s="510"/>
      <c r="K12" s="511"/>
    </row>
    <row r="13" spans="1:23" ht="15" customHeight="1" x14ac:dyDescent="0.2">
      <c r="A13" s="427" t="s">
        <v>79</v>
      </c>
      <c r="B13" s="428"/>
      <c r="C13" s="428"/>
      <c r="D13" s="428"/>
      <c r="E13" s="316" t="s">
        <v>46</v>
      </c>
      <c r="F13" s="421">
        <v>15</v>
      </c>
      <c r="G13" s="421"/>
      <c r="H13" s="421">
        <f>F13</f>
        <v>15</v>
      </c>
      <c r="I13" s="421"/>
      <c r="J13" s="450"/>
      <c r="K13" s="451"/>
    </row>
    <row r="14" spans="1:23" ht="15" customHeight="1" x14ac:dyDescent="0.2">
      <c r="A14" s="427" t="s">
        <v>80</v>
      </c>
      <c r="B14" s="428"/>
      <c r="C14" s="428"/>
      <c r="D14" s="428"/>
      <c r="E14" s="316" t="s">
        <v>81</v>
      </c>
      <c r="F14" s="421" t="str">
        <f ca="1">H14</f>
        <v>50</v>
      </c>
      <c r="G14" s="421"/>
      <c r="H14" s="421" t="str">
        <f ca="1">Q!B60</f>
        <v>50</v>
      </c>
      <c r="I14" s="421"/>
      <c r="J14" s="450"/>
      <c r="K14" s="451"/>
    </row>
    <row r="15" spans="1:23" ht="15" customHeight="1" x14ac:dyDescent="0.2">
      <c r="A15" s="427" t="s">
        <v>82</v>
      </c>
      <c r="B15" s="428"/>
      <c r="C15" s="428"/>
      <c r="D15" s="428"/>
      <c r="E15" s="316"/>
      <c r="F15" s="421">
        <f ca="1">H15</f>
        <v>3</v>
      </c>
      <c r="G15" s="421"/>
      <c r="H15" s="421">
        <f ca="1">Q!B61</f>
        <v>3</v>
      </c>
      <c r="I15" s="421"/>
      <c r="J15" s="450"/>
      <c r="K15" s="451"/>
    </row>
    <row r="16" spans="1:23" ht="15" customHeight="1" x14ac:dyDescent="0.2">
      <c r="A16" s="502" t="s">
        <v>982</v>
      </c>
      <c r="B16" s="503"/>
      <c r="C16" s="503"/>
      <c r="D16" s="503"/>
      <c r="E16" s="316" t="s">
        <v>83</v>
      </c>
      <c r="F16" s="421">
        <f ca="1">Q!B47</f>
        <v>33000</v>
      </c>
      <c r="G16" s="421"/>
      <c r="H16" s="421">
        <f ca="1">F16</f>
        <v>33000</v>
      </c>
      <c r="I16" s="421"/>
      <c r="J16" s="504"/>
      <c r="K16" s="505"/>
    </row>
    <row r="17" spans="1:17" ht="15" customHeight="1" x14ac:dyDescent="0.2">
      <c r="A17" s="513" t="s">
        <v>576</v>
      </c>
      <c r="B17" s="514"/>
      <c r="C17" s="514"/>
      <c r="D17" s="256">
        <f ca="1">Q!D66</f>
        <v>1</v>
      </c>
      <c r="E17" s="316"/>
      <c r="F17" s="517"/>
      <c r="G17" s="517"/>
      <c r="H17" s="512" t="str">
        <f ca="1">Q!B66</f>
        <v>5%</v>
      </c>
      <c r="I17" s="512"/>
      <c r="J17" s="518"/>
      <c r="K17" s="519"/>
    </row>
    <row r="18" spans="1:17" ht="15" customHeight="1" x14ac:dyDescent="0.2">
      <c r="A18" s="515">
        <f ca="1">Q!D67</f>
        <v>2</v>
      </c>
      <c r="B18" s="516"/>
      <c r="C18" s="516"/>
      <c r="D18" s="516"/>
      <c r="E18" s="316"/>
      <c r="F18" s="421"/>
      <c r="G18" s="421"/>
      <c r="H18" s="512" t="str">
        <f ca="1">Q!B67</f>
        <v>2.5%</v>
      </c>
      <c r="I18" s="512"/>
      <c r="J18" s="450"/>
      <c r="K18" s="451"/>
    </row>
    <row r="19" spans="1:17" ht="15" customHeight="1" x14ac:dyDescent="0.2">
      <c r="A19" s="515">
        <f ca="1">Q!D68</f>
        <v>3</v>
      </c>
      <c r="B19" s="516"/>
      <c r="C19" s="516"/>
      <c r="D19" s="516"/>
      <c r="E19" s="316"/>
      <c r="F19" s="421"/>
      <c r="G19" s="421"/>
      <c r="H19" s="512" t="str">
        <f ca="1">Q!B68</f>
        <v>0%</v>
      </c>
      <c r="I19" s="512"/>
      <c r="J19" s="450"/>
      <c r="K19" s="451"/>
    </row>
    <row r="20" spans="1:17" ht="15" customHeight="1" x14ac:dyDescent="0.2">
      <c r="A20" s="515">
        <f ca="1">Q!D69</f>
        <v>4</v>
      </c>
      <c r="B20" s="516"/>
      <c r="C20" s="516"/>
      <c r="D20" s="516"/>
      <c r="E20" s="316"/>
      <c r="F20" s="421"/>
      <c r="G20" s="421"/>
      <c r="H20" s="512" t="str">
        <f ca="1">Q!B69</f>
        <v>-2.5%</v>
      </c>
      <c r="I20" s="512"/>
      <c r="J20" s="450"/>
      <c r="K20" s="451"/>
    </row>
    <row r="21" spans="1:17" ht="15" customHeight="1" x14ac:dyDescent="0.2">
      <c r="A21" s="515">
        <f ca="1">Q!D70</f>
        <v>5</v>
      </c>
      <c r="B21" s="516"/>
      <c r="C21" s="516"/>
      <c r="D21" s="516"/>
      <c r="E21" s="316"/>
      <c r="F21" s="421"/>
      <c r="G21" s="421"/>
      <c r="H21" s="512" t="str">
        <f ca="1">Q!B70</f>
        <v>-5%</v>
      </c>
      <c r="I21" s="512"/>
      <c r="J21" s="450"/>
      <c r="K21" s="451"/>
    </row>
    <row r="22" spans="1:17" ht="15" customHeight="1" x14ac:dyDescent="0.2">
      <c r="A22" s="515" t="str">
        <f ca="1">Q!D71</f>
        <v/>
      </c>
      <c r="B22" s="516"/>
      <c r="C22" s="516"/>
      <c r="D22" s="516"/>
      <c r="E22" s="316"/>
      <c r="F22" s="422"/>
      <c r="G22" s="423"/>
      <c r="H22" s="512" t="str">
        <f ca="1">Q!B71</f>
        <v>-</v>
      </c>
      <c r="I22" s="512"/>
      <c r="J22" s="520"/>
      <c r="K22" s="521"/>
    </row>
    <row r="23" spans="1:17" ht="15" customHeight="1" x14ac:dyDescent="0.2">
      <c r="A23" s="515" t="str">
        <f ca="1">Q!D72</f>
        <v/>
      </c>
      <c r="B23" s="516"/>
      <c r="C23" s="516"/>
      <c r="D23" s="516"/>
      <c r="E23" s="316"/>
      <c r="F23" s="422"/>
      <c r="G23" s="423"/>
      <c r="H23" s="512" t="str">
        <f ca="1">Q!B72</f>
        <v>-</v>
      </c>
      <c r="I23" s="512"/>
      <c r="J23" s="520"/>
      <c r="K23" s="521"/>
    </row>
    <row r="24" spans="1:17" ht="15" customHeight="1" x14ac:dyDescent="0.2">
      <c r="A24" s="515" t="str">
        <f ca="1">Q!D73</f>
        <v/>
      </c>
      <c r="B24" s="516"/>
      <c r="C24" s="516"/>
      <c r="D24" s="516"/>
      <c r="E24" s="316"/>
      <c r="F24" s="422"/>
      <c r="G24" s="423"/>
      <c r="H24" s="512" t="str">
        <f ca="1">Q!B73</f>
        <v>-</v>
      </c>
      <c r="I24" s="512"/>
      <c r="J24" s="520"/>
      <c r="K24" s="521"/>
    </row>
    <row r="25" spans="1:17" ht="15" customHeight="1" x14ac:dyDescent="0.2">
      <c r="A25" s="515" t="str">
        <f ca="1">Q!D74</f>
        <v/>
      </c>
      <c r="B25" s="516"/>
      <c r="C25" s="516"/>
      <c r="D25" s="516"/>
      <c r="E25" s="316"/>
      <c r="F25" s="422"/>
      <c r="G25" s="423"/>
      <c r="H25" s="512" t="str">
        <f ca="1">Q!B74</f>
        <v>-</v>
      </c>
      <c r="I25" s="512"/>
      <c r="J25" s="520"/>
      <c r="K25" s="521"/>
    </row>
    <row r="26" spans="1:17" ht="15" customHeight="1" x14ac:dyDescent="0.2">
      <c r="A26" s="424" t="s">
        <v>983</v>
      </c>
      <c r="B26" s="425"/>
      <c r="C26" s="425"/>
      <c r="D26" s="426"/>
      <c r="E26" s="317" t="s">
        <v>83</v>
      </c>
      <c r="F26" s="421">
        <f ca="1">Q!B48</f>
        <v>400</v>
      </c>
      <c r="G26" s="421"/>
      <c r="H26" s="421">
        <f ca="1">F26</f>
        <v>400</v>
      </c>
      <c r="I26" s="421"/>
      <c r="J26" s="450"/>
      <c r="K26" s="451"/>
    </row>
    <row r="27" spans="1:17" ht="15" customHeight="1" x14ac:dyDescent="0.2">
      <c r="A27" s="424" t="s">
        <v>84</v>
      </c>
      <c r="B27" s="425"/>
      <c r="C27" s="425"/>
      <c r="D27" s="426"/>
      <c r="E27" s="317"/>
      <c r="F27" s="421" t="str">
        <f ca="1">H27</f>
        <v>Dyn11</v>
      </c>
      <c r="G27" s="421"/>
      <c r="H27" s="421" t="str">
        <f ca="1">Q!B79</f>
        <v>Dyn11</v>
      </c>
      <c r="I27" s="421"/>
      <c r="J27" s="450"/>
      <c r="K27" s="451"/>
    </row>
    <row r="28" spans="1:17" ht="15" customHeight="1" x14ac:dyDescent="0.2">
      <c r="A28" s="522" t="s">
        <v>806</v>
      </c>
      <c r="B28" s="523"/>
      <c r="C28" s="523"/>
      <c r="D28" s="524"/>
      <c r="E28" s="317" t="s">
        <v>807</v>
      </c>
      <c r="F28" s="422"/>
      <c r="G28" s="423"/>
      <c r="H28" s="422" t="str">
        <f ca="1">IF(P34="",VLOOKUP(1,O28:Q33,2,FALSE),P34)</f>
        <v>170 / -</v>
      </c>
      <c r="I28" s="423"/>
      <c r="J28" s="422"/>
      <c r="K28" s="440"/>
      <c r="N28" s="272" t="s">
        <v>398</v>
      </c>
      <c r="O28" s="260">
        <f ca="1">IF(AND(Q!C312=200,Q!B331=1),1,0)</f>
        <v>0</v>
      </c>
      <c r="P28" s="331" t="s">
        <v>808</v>
      </c>
      <c r="Q28" s="260" t="s">
        <v>812</v>
      </c>
    </row>
    <row r="29" spans="1:17" ht="15" customHeight="1" x14ac:dyDescent="0.2">
      <c r="A29" s="522" t="s">
        <v>805</v>
      </c>
      <c r="B29" s="523"/>
      <c r="C29" s="523"/>
      <c r="D29" s="524"/>
      <c r="E29" s="317" t="s">
        <v>807</v>
      </c>
      <c r="F29" s="422"/>
      <c r="G29" s="423"/>
      <c r="H29" s="422" t="str">
        <f ca="1">IF(Q34="",VLOOKUP(1,O28:Q33,3,FALSE),Q34)</f>
        <v>70 / 3</v>
      </c>
      <c r="I29" s="423"/>
      <c r="J29" s="422"/>
      <c r="K29" s="440"/>
      <c r="N29" s="272" t="s">
        <v>398</v>
      </c>
      <c r="O29" s="260">
        <f ca="1">IF(AND(Q!C312=170,Q!B331=1),1,0)</f>
        <v>1</v>
      </c>
      <c r="P29" s="331" t="s">
        <v>815</v>
      </c>
      <c r="Q29" s="260" t="s">
        <v>812</v>
      </c>
    </row>
    <row r="30" spans="1:17" ht="15" customHeight="1" x14ac:dyDescent="0.2">
      <c r="A30" s="522" t="s">
        <v>869</v>
      </c>
      <c r="B30" s="523"/>
      <c r="C30" s="523"/>
      <c r="D30" s="524"/>
      <c r="E30" s="317"/>
      <c r="F30" s="422" t="s">
        <v>969</v>
      </c>
      <c r="G30" s="423"/>
      <c r="H30" s="422" t="str">
        <f>F30</f>
        <v>Cu / Cu</v>
      </c>
      <c r="I30" s="423"/>
      <c r="J30" s="422"/>
      <c r="K30" s="440"/>
      <c r="N30" s="272"/>
      <c r="O30" s="260"/>
      <c r="P30" s="331"/>
      <c r="Q30" s="260"/>
    </row>
    <row r="31" spans="1:17" ht="15" customHeight="1" x14ac:dyDescent="0.2">
      <c r="A31" s="522" t="s">
        <v>870</v>
      </c>
      <c r="B31" s="523"/>
      <c r="C31" s="523" t="s">
        <v>582</v>
      </c>
      <c r="D31" s="524"/>
      <c r="E31" s="317" t="s">
        <v>85</v>
      </c>
      <c r="F31" s="421"/>
      <c r="G31" s="421"/>
      <c r="H31" s="421">
        <f ca="1">Q!B81</f>
        <v>60</v>
      </c>
      <c r="I31" s="421"/>
      <c r="J31" s="450"/>
      <c r="K31" s="451"/>
      <c r="N31" s="272" t="s">
        <v>399</v>
      </c>
      <c r="O31" s="260">
        <f ca="1">IF(AND(Q!C312=95,Q!B331=1),1,0)</f>
        <v>0</v>
      </c>
      <c r="P31" s="331" t="s">
        <v>810</v>
      </c>
      <c r="Q31" s="260" t="s">
        <v>813</v>
      </c>
    </row>
    <row r="32" spans="1:17" ht="15" customHeight="1" x14ac:dyDescent="0.2">
      <c r="A32" s="526" t="s">
        <v>580</v>
      </c>
      <c r="B32" s="527"/>
      <c r="C32" s="425" t="s">
        <v>581</v>
      </c>
      <c r="D32" s="426"/>
      <c r="E32" s="317" t="s">
        <v>85</v>
      </c>
      <c r="F32" s="421"/>
      <c r="G32" s="421"/>
      <c r="H32" s="421">
        <f ca="1">Q!B82</f>
        <v>55</v>
      </c>
      <c r="I32" s="421"/>
      <c r="J32" s="450"/>
      <c r="K32" s="451"/>
      <c r="N32" s="272" t="s">
        <v>400</v>
      </c>
      <c r="O32" s="260">
        <f ca="1">IF(AND(Q!C312=75,Q!B331=1),1,0)</f>
        <v>0</v>
      </c>
      <c r="P32" s="331" t="s">
        <v>809</v>
      </c>
      <c r="Q32" s="260" t="s">
        <v>813</v>
      </c>
    </row>
    <row r="33" spans="1:17" ht="15" customHeight="1" x14ac:dyDescent="0.2">
      <c r="A33" s="424" t="s">
        <v>871</v>
      </c>
      <c r="B33" s="425"/>
      <c r="C33" s="425"/>
      <c r="D33" s="426"/>
      <c r="E33" s="317" t="s">
        <v>86</v>
      </c>
      <c r="F33" s="421"/>
      <c r="G33" s="421"/>
      <c r="H33" s="525">
        <f ca="1">Q!M91</f>
        <v>97.815056182522895</v>
      </c>
      <c r="I33" s="525"/>
      <c r="J33" s="450"/>
      <c r="K33" s="451"/>
      <c r="N33" s="272" t="s">
        <v>400</v>
      </c>
      <c r="O33" s="260">
        <f ca="1">IF(AND(Q!C312=60,Q!B331=1),1,0)</f>
        <v>0</v>
      </c>
      <c r="P33" s="331" t="s">
        <v>811</v>
      </c>
      <c r="Q33" s="260" t="s">
        <v>814</v>
      </c>
    </row>
    <row r="34" spans="1:17" ht="23.45" customHeight="1" x14ac:dyDescent="0.2">
      <c r="A34" s="424" t="s">
        <v>872</v>
      </c>
      <c r="B34" s="425"/>
      <c r="C34" s="425"/>
      <c r="D34" s="426"/>
      <c r="E34" s="317" t="s">
        <v>86</v>
      </c>
      <c r="F34" s="421"/>
      <c r="G34" s="421"/>
      <c r="H34" s="525">
        <f ca="1">Q!N91</f>
        <v>3.9948394082826888</v>
      </c>
      <c r="I34" s="525"/>
      <c r="J34" s="450"/>
      <c r="K34" s="451"/>
      <c r="M34" s="2"/>
      <c r="N34" s="260" t="s">
        <v>816</v>
      </c>
      <c r="O34" s="260"/>
      <c r="P34" s="331"/>
      <c r="Q34" s="295"/>
    </row>
    <row r="35" spans="1:17" ht="22.15" customHeight="1" x14ac:dyDescent="0.2">
      <c r="A35" s="424" t="s">
        <v>873</v>
      </c>
      <c r="B35" s="425"/>
      <c r="C35" s="425"/>
      <c r="D35" s="426"/>
      <c r="E35" s="317" t="s">
        <v>86</v>
      </c>
      <c r="F35" s="421"/>
      <c r="G35" s="421"/>
      <c r="H35" s="525">
        <f ca="1">ROUND(Q!B86,2)</f>
        <v>0.82</v>
      </c>
      <c r="I35" s="525"/>
      <c r="J35" s="504" t="s">
        <v>848</v>
      </c>
      <c r="K35" s="505"/>
    </row>
    <row r="36" spans="1:17" ht="15" customHeight="1" x14ac:dyDescent="0.2">
      <c r="A36" s="424" t="s">
        <v>874</v>
      </c>
      <c r="B36" s="425"/>
      <c r="C36" s="425"/>
      <c r="D36" s="426"/>
      <c r="E36" s="317"/>
      <c r="F36" s="421"/>
      <c r="G36" s="421"/>
      <c r="H36" s="421" t="s">
        <v>115</v>
      </c>
      <c r="I36" s="421"/>
      <c r="J36" s="450"/>
      <c r="K36" s="451"/>
    </row>
    <row r="37" spans="1:17" ht="22.15" customHeight="1" x14ac:dyDescent="0.2">
      <c r="A37" s="424" t="s">
        <v>875</v>
      </c>
      <c r="B37" s="425"/>
      <c r="C37" s="425"/>
      <c r="D37" s="426"/>
      <c r="E37" s="317" t="s">
        <v>87</v>
      </c>
      <c r="F37" s="421"/>
      <c r="G37" s="421"/>
      <c r="H37" s="528">
        <f ca="1">Q!B85</f>
        <v>227</v>
      </c>
      <c r="I37" s="528"/>
      <c r="J37" s="504" t="s">
        <v>848</v>
      </c>
      <c r="K37" s="505"/>
    </row>
    <row r="38" spans="1:17" ht="23.45" customHeight="1" x14ac:dyDescent="0.2">
      <c r="A38" s="424" t="s">
        <v>876</v>
      </c>
      <c r="B38" s="425"/>
      <c r="C38" s="425"/>
      <c r="D38" s="426"/>
      <c r="E38" s="317" t="s">
        <v>87</v>
      </c>
      <c r="F38" s="421"/>
      <c r="G38" s="421"/>
      <c r="H38" s="528">
        <v>2500</v>
      </c>
      <c r="I38" s="528"/>
      <c r="J38" s="504" t="s">
        <v>848</v>
      </c>
      <c r="K38" s="505"/>
    </row>
    <row r="39" spans="1:17" ht="23.45" customHeight="1" x14ac:dyDescent="0.2">
      <c r="A39" s="424" t="s">
        <v>877</v>
      </c>
      <c r="B39" s="425"/>
      <c r="C39" s="425"/>
      <c r="D39" s="426"/>
      <c r="E39" s="317" t="s">
        <v>86</v>
      </c>
      <c r="F39" s="421"/>
      <c r="G39" s="421"/>
      <c r="H39" s="525">
        <v>4.3</v>
      </c>
      <c r="I39" s="525"/>
      <c r="J39" s="504" t="s">
        <v>848</v>
      </c>
      <c r="K39" s="505"/>
    </row>
    <row r="40" spans="1:17" ht="15" customHeight="1" x14ac:dyDescent="0.2">
      <c r="A40" s="424" t="s">
        <v>878</v>
      </c>
      <c r="B40" s="425"/>
      <c r="C40" s="425"/>
      <c r="D40" s="426"/>
      <c r="E40" s="317" t="s">
        <v>88</v>
      </c>
      <c r="F40" s="421"/>
      <c r="G40" s="421"/>
      <c r="H40" s="421">
        <f ca="1">Q!B87</f>
        <v>45</v>
      </c>
      <c r="I40" s="421"/>
      <c r="J40" s="450"/>
      <c r="K40" s="451"/>
    </row>
    <row r="41" spans="1:17" ht="15" customHeight="1" x14ac:dyDescent="0.25">
      <c r="A41" s="537" t="s">
        <v>879</v>
      </c>
      <c r="B41" s="538"/>
      <c r="C41" s="538"/>
      <c r="D41" s="538"/>
      <c r="E41" s="316"/>
      <c r="F41" s="421"/>
      <c r="G41" s="421"/>
      <c r="H41" s="531"/>
      <c r="I41" s="532"/>
      <c r="J41" s="450"/>
      <c r="K41" s="451"/>
      <c r="M41" s="44"/>
    </row>
    <row r="42" spans="1:17" ht="15" customHeight="1" x14ac:dyDescent="0.2">
      <c r="A42" s="415"/>
      <c r="B42" s="416"/>
      <c r="C42" s="417" t="s">
        <v>114</v>
      </c>
      <c r="D42" s="418"/>
      <c r="E42" s="316" t="s">
        <v>89</v>
      </c>
      <c r="F42" s="422"/>
      <c r="G42" s="423"/>
      <c r="H42" s="421">
        <f ca="1">Q!B114</f>
        <v>1555</v>
      </c>
      <c r="I42" s="421"/>
      <c r="J42" s="429" t="s">
        <v>573</v>
      </c>
      <c r="K42" s="529"/>
      <c r="M42" s="44"/>
    </row>
    <row r="43" spans="1:17" ht="15" customHeight="1" x14ac:dyDescent="0.2">
      <c r="A43" s="415"/>
      <c r="B43" s="416"/>
      <c r="C43" s="417" t="s">
        <v>112</v>
      </c>
      <c r="D43" s="418"/>
      <c r="E43" s="316" t="s">
        <v>89</v>
      </c>
      <c r="F43" s="421"/>
      <c r="G43" s="421"/>
      <c r="H43" s="421">
        <f ca="1">Q!B115</f>
        <v>921</v>
      </c>
      <c r="I43" s="421"/>
      <c r="J43" s="429" t="s">
        <v>573</v>
      </c>
      <c r="K43" s="529"/>
      <c r="M43" s="44"/>
    </row>
    <row r="44" spans="1:17" ht="15" customHeight="1" x14ac:dyDescent="0.2">
      <c r="A44" s="415"/>
      <c r="B44" s="416"/>
      <c r="C44" s="419" t="s">
        <v>113</v>
      </c>
      <c r="D44" s="420"/>
      <c r="E44" s="316" t="s">
        <v>89</v>
      </c>
      <c r="F44" s="421"/>
      <c r="G44" s="421"/>
      <c r="H44" s="421">
        <f ca="1">Q!B116</f>
        <v>1062</v>
      </c>
      <c r="I44" s="421"/>
      <c r="J44" s="429" t="s">
        <v>573</v>
      </c>
      <c r="K44" s="529"/>
      <c r="M44" s="44"/>
    </row>
    <row r="45" spans="1:17" ht="15" customHeight="1" x14ac:dyDescent="0.2">
      <c r="A45" s="424" t="s">
        <v>880</v>
      </c>
      <c r="B45" s="425"/>
      <c r="C45" s="425"/>
      <c r="D45" s="426"/>
      <c r="E45" s="317" t="s">
        <v>45</v>
      </c>
      <c r="F45" s="421"/>
      <c r="G45" s="421"/>
      <c r="H45" s="421">
        <f ca="1">Q!B117</f>
        <v>980</v>
      </c>
      <c r="I45" s="421"/>
      <c r="J45" s="429" t="s">
        <v>573</v>
      </c>
      <c r="K45" s="529"/>
    </row>
    <row r="46" spans="1:17" ht="15" customHeight="1" x14ac:dyDescent="0.2">
      <c r="A46" s="424" t="s">
        <v>881</v>
      </c>
      <c r="B46" s="425"/>
      <c r="C46" s="425"/>
      <c r="D46" s="426"/>
      <c r="E46" s="317" t="s">
        <v>45</v>
      </c>
      <c r="F46" s="422"/>
      <c r="G46" s="423"/>
      <c r="H46" s="421">
        <f ca="1">Q!B118</f>
        <v>300</v>
      </c>
      <c r="I46" s="421"/>
      <c r="J46" s="429" t="s">
        <v>573</v>
      </c>
      <c r="K46" s="529"/>
    </row>
    <row r="47" spans="1:17" ht="15" customHeight="1" x14ac:dyDescent="0.2">
      <c r="A47" s="424" t="s">
        <v>882</v>
      </c>
      <c r="B47" s="425"/>
      <c r="C47" s="425"/>
      <c r="D47" s="426"/>
      <c r="E47" s="317" t="s">
        <v>45</v>
      </c>
      <c r="F47" s="422"/>
      <c r="G47" s="423"/>
      <c r="H47" s="422">
        <f ca="1">Q!B120</f>
        <v>490</v>
      </c>
      <c r="I47" s="423"/>
      <c r="J47" s="429" t="s">
        <v>573</v>
      </c>
      <c r="K47" s="529"/>
    </row>
    <row r="48" spans="1:17" ht="15" customHeight="1" x14ac:dyDescent="0.25">
      <c r="A48" s="494" t="s">
        <v>883</v>
      </c>
      <c r="B48" s="495"/>
      <c r="C48" s="495"/>
      <c r="D48" s="496"/>
      <c r="E48" s="317"/>
      <c r="F48" s="422"/>
      <c r="G48" s="423"/>
      <c r="H48" s="422" t="s">
        <v>124</v>
      </c>
      <c r="I48" s="423"/>
      <c r="J48" s="429"/>
      <c r="K48" s="529"/>
      <c r="L48" s="14" t="s">
        <v>383</v>
      </c>
      <c r="M48" s="14"/>
      <c r="N48" s="14"/>
      <c r="O48" s="14"/>
      <c r="P48" s="14"/>
    </row>
    <row r="49" spans="1:16" ht="15" customHeight="1" x14ac:dyDescent="0.25">
      <c r="A49" s="427" t="s">
        <v>884</v>
      </c>
      <c r="B49" s="428"/>
      <c r="C49" s="428"/>
      <c r="D49" s="428"/>
      <c r="E49" s="317"/>
      <c r="F49" s="421"/>
      <c r="G49" s="421"/>
      <c r="H49" s="421" t="s">
        <v>124</v>
      </c>
      <c r="I49" s="421"/>
      <c r="J49" s="421"/>
      <c r="K49" s="530"/>
      <c r="L49" s="14" t="s">
        <v>124</v>
      </c>
      <c r="M49" s="14"/>
      <c r="N49" s="14"/>
      <c r="O49" s="14"/>
      <c r="P49" s="14"/>
    </row>
    <row r="50" spans="1:16" ht="15" customHeight="1" x14ac:dyDescent="0.25">
      <c r="A50" s="497" t="s">
        <v>885</v>
      </c>
      <c r="B50" s="498"/>
      <c r="C50" s="498"/>
      <c r="D50" s="499"/>
      <c r="E50" s="317"/>
      <c r="F50" s="429" t="s">
        <v>384</v>
      </c>
      <c r="G50" s="430"/>
      <c r="H50" s="429" t="str">
        <f>F50</f>
        <v>Hermetically sealed</v>
      </c>
      <c r="I50" s="430"/>
      <c r="J50" s="422"/>
      <c r="K50" s="440"/>
      <c r="L50" s="14" t="s">
        <v>405</v>
      </c>
      <c r="M50" s="14" t="s">
        <v>384</v>
      </c>
      <c r="N50" s="14"/>
      <c r="O50" s="14" t="s">
        <v>385</v>
      </c>
      <c r="P50" s="14"/>
    </row>
    <row r="51" spans="1:16" ht="15" customHeight="1" x14ac:dyDescent="0.25">
      <c r="A51" s="424" t="s">
        <v>886</v>
      </c>
      <c r="B51" s="425"/>
      <c r="C51" s="425"/>
      <c r="D51" s="426"/>
      <c r="E51" s="317"/>
      <c r="F51" s="421"/>
      <c r="G51" s="421"/>
      <c r="H51" s="535" t="s">
        <v>387</v>
      </c>
      <c r="I51" s="536"/>
      <c r="J51" s="504" t="s">
        <v>990</v>
      </c>
      <c r="K51" s="505"/>
      <c r="L51" s="14"/>
      <c r="M51" s="14" t="s">
        <v>188</v>
      </c>
      <c r="N51" s="14"/>
      <c r="O51" s="14" t="s">
        <v>387</v>
      </c>
      <c r="P51" s="14"/>
    </row>
    <row r="52" spans="1:16" ht="15" customHeight="1" x14ac:dyDescent="0.25">
      <c r="A52" s="424" t="s">
        <v>887</v>
      </c>
      <c r="B52" s="425"/>
      <c r="C52" s="425"/>
      <c r="D52" s="426"/>
      <c r="E52" s="317"/>
      <c r="F52" s="422"/>
      <c r="G52" s="423"/>
      <c r="H52" s="533" t="s">
        <v>850</v>
      </c>
      <c r="I52" s="534"/>
      <c r="J52" s="429" t="s">
        <v>851</v>
      </c>
      <c r="K52" s="529"/>
      <c r="L52" s="14"/>
      <c r="N52" s="14"/>
      <c r="O52" s="14" t="s">
        <v>386</v>
      </c>
      <c r="P52" s="14"/>
    </row>
    <row r="53" spans="1:16" ht="15" customHeight="1" x14ac:dyDescent="0.2">
      <c r="A53" s="494" t="s">
        <v>888</v>
      </c>
      <c r="B53" s="495"/>
      <c r="C53" s="495"/>
      <c r="D53" s="496"/>
      <c r="E53" s="317"/>
      <c r="F53" s="421"/>
      <c r="G53" s="421"/>
      <c r="H53" s="421"/>
      <c r="I53" s="421"/>
      <c r="J53" s="450"/>
      <c r="K53" s="451"/>
    </row>
    <row r="54" spans="1:16" ht="15" customHeight="1" x14ac:dyDescent="0.2">
      <c r="A54" s="415"/>
      <c r="B54" s="416"/>
      <c r="C54" s="417" t="s">
        <v>577</v>
      </c>
      <c r="D54" s="418"/>
      <c r="E54" s="317" t="s">
        <v>85</v>
      </c>
      <c r="F54" s="421"/>
      <c r="G54" s="421"/>
      <c r="H54" s="421">
        <v>45</v>
      </c>
      <c r="I54" s="421"/>
      <c r="J54" s="450"/>
      <c r="K54" s="451"/>
    </row>
    <row r="55" spans="1:16" ht="15" customHeight="1" x14ac:dyDescent="0.25">
      <c r="A55" s="415"/>
      <c r="B55" s="416"/>
      <c r="C55" s="417" t="s">
        <v>578</v>
      </c>
      <c r="D55" s="418"/>
      <c r="E55" s="317" t="s">
        <v>85</v>
      </c>
      <c r="F55" s="422"/>
      <c r="G55" s="423"/>
      <c r="H55" s="421">
        <v>35</v>
      </c>
      <c r="I55" s="421"/>
      <c r="J55" s="422"/>
      <c r="K55" s="440"/>
      <c r="L55" s="14"/>
      <c r="M55" s="14"/>
      <c r="N55" s="14"/>
      <c r="O55" s="14"/>
      <c r="P55" s="14"/>
    </row>
    <row r="56" spans="1:16" ht="15" customHeight="1" x14ac:dyDescent="0.25">
      <c r="A56" s="415"/>
      <c r="B56" s="416"/>
      <c r="C56" s="419" t="s">
        <v>579</v>
      </c>
      <c r="D56" s="420"/>
      <c r="E56" s="317" t="s">
        <v>85</v>
      </c>
      <c r="F56" s="421"/>
      <c r="G56" s="421"/>
      <c r="H56" s="421">
        <v>25</v>
      </c>
      <c r="I56" s="421"/>
      <c r="J56" s="450"/>
      <c r="K56" s="451"/>
      <c r="L56" s="14"/>
      <c r="M56" s="14"/>
      <c r="N56" s="14"/>
      <c r="O56" s="14"/>
      <c r="P56" s="14"/>
    </row>
    <row r="57" spans="1:16" ht="15" customHeight="1" x14ac:dyDescent="0.2">
      <c r="A57" s="424" t="s">
        <v>889</v>
      </c>
      <c r="B57" s="425"/>
      <c r="C57" s="498"/>
      <c r="D57" s="499"/>
      <c r="E57" s="317" t="s">
        <v>61</v>
      </c>
      <c r="F57" s="421"/>
      <c r="G57" s="421"/>
      <c r="H57" s="421">
        <v>1000</v>
      </c>
      <c r="I57" s="421"/>
      <c r="J57" s="450"/>
      <c r="K57" s="451"/>
    </row>
    <row r="58" spans="1:16" ht="15" customHeight="1" thickBot="1" x14ac:dyDescent="0.25">
      <c r="A58" s="453" t="s">
        <v>890</v>
      </c>
      <c r="B58" s="454"/>
      <c r="C58" s="454"/>
      <c r="D58" s="455"/>
      <c r="E58" s="318"/>
      <c r="F58" s="456"/>
      <c r="G58" s="456"/>
      <c r="H58" s="457" t="s">
        <v>323</v>
      </c>
      <c r="I58" s="457"/>
      <c r="J58" s="458"/>
      <c r="K58" s="459"/>
    </row>
    <row r="59" spans="1:16" ht="9" customHeight="1" thickBot="1" x14ac:dyDescent="0.25">
      <c r="A59" s="452"/>
      <c r="B59" s="452"/>
      <c r="C59" s="452"/>
      <c r="D59" s="452"/>
      <c r="E59" s="452"/>
      <c r="F59" s="452"/>
      <c r="G59" s="452"/>
      <c r="H59" s="452"/>
      <c r="I59" s="452"/>
      <c r="J59" s="452"/>
      <c r="K59" s="452"/>
    </row>
    <row r="60" spans="1:16" s="14" customFormat="1" ht="16.5" customHeight="1" x14ac:dyDescent="0.25">
      <c r="A60" s="463" t="s">
        <v>891</v>
      </c>
      <c r="B60" s="464"/>
      <c r="C60" s="464"/>
      <c r="D60" s="465" t="s">
        <v>993</v>
      </c>
      <c r="E60" s="466"/>
      <c r="F60" s="466"/>
      <c r="G60" s="466"/>
      <c r="H60" s="466"/>
      <c r="I60" s="466"/>
      <c r="J60" s="466"/>
      <c r="K60" s="467"/>
    </row>
    <row r="61" spans="1:16" s="14" customFormat="1" ht="15" customHeight="1" x14ac:dyDescent="0.25">
      <c r="A61" s="474" t="s">
        <v>574</v>
      </c>
      <c r="B61" s="475"/>
      <c r="C61" s="492" t="s">
        <v>124</v>
      </c>
      <c r="D61" s="468"/>
      <c r="E61" s="469"/>
      <c r="F61" s="469"/>
      <c r="G61" s="469"/>
      <c r="H61" s="469"/>
      <c r="I61" s="469"/>
      <c r="J61" s="469"/>
      <c r="K61" s="470"/>
    </row>
    <row r="62" spans="1:16" s="14" customFormat="1" ht="15" customHeight="1" x14ac:dyDescent="0.25">
      <c r="A62" s="476"/>
      <c r="B62" s="477"/>
      <c r="C62" s="493"/>
      <c r="D62" s="471"/>
      <c r="E62" s="472"/>
      <c r="F62" s="472"/>
      <c r="G62" s="472"/>
      <c r="H62" s="472"/>
      <c r="I62" s="472"/>
      <c r="J62" s="472"/>
      <c r="K62" s="473"/>
    </row>
    <row r="63" spans="1:16" s="14" customFormat="1" ht="27.75" customHeight="1" x14ac:dyDescent="0.25">
      <c r="A63" s="443" t="s">
        <v>549</v>
      </c>
      <c r="B63" s="444"/>
      <c r="C63" s="255" t="s">
        <v>383</v>
      </c>
      <c r="D63" s="205"/>
      <c r="E63" s="441" t="s">
        <v>90</v>
      </c>
      <c r="F63" s="441"/>
      <c r="G63" s="441" t="s">
        <v>91</v>
      </c>
      <c r="H63" s="441"/>
      <c r="I63" s="441"/>
      <c r="J63" s="441" t="s">
        <v>50</v>
      </c>
      <c r="K63" s="442"/>
    </row>
    <row r="64" spans="1:16" s="14" customFormat="1" ht="30" customHeight="1" x14ac:dyDescent="0.25">
      <c r="A64" s="443" t="s">
        <v>992</v>
      </c>
      <c r="B64" s="444"/>
      <c r="C64" s="255" t="s">
        <v>383</v>
      </c>
      <c r="D64" s="243" t="s">
        <v>388</v>
      </c>
      <c r="E64" s="445" t="s">
        <v>118</v>
      </c>
      <c r="F64" s="446"/>
      <c r="G64" s="422"/>
      <c r="H64" s="447"/>
      <c r="I64" s="423"/>
      <c r="J64" s="448">
        <f ca="1">TODAY()</f>
        <v>45076</v>
      </c>
      <c r="K64" s="449"/>
    </row>
    <row r="65" spans="1:11" s="14" customFormat="1" ht="30" customHeight="1" x14ac:dyDescent="0.25">
      <c r="A65" s="443" t="s">
        <v>853</v>
      </c>
      <c r="B65" s="460"/>
      <c r="C65" s="383" t="s">
        <v>383</v>
      </c>
      <c r="D65" s="243" t="s">
        <v>854</v>
      </c>
      <c r="E65" s="445" t="s">
        <v>118</v>
      </c>
      <c r="F65" s="446"/>
      <c r="G65" s="422"/>
      <c r="H65" s="447"/>
      <c r="I65" s="423"/>
      <c r="J65" s="448">
        <f ca="1">TODAY()</f>
        <v>45076</v>
      </c>
      <c r="K65" s="449"/>
    </row>
    <row r="66" spans="1:11" s="14" customFormat="1" ht="30" customHeight="1" thickBot="1" x14ac:dyDescent="0.3">
      <c r="A66" s="431" t="s">
        <v>852</v>
      </c>
      <c r="B66" s="432"/>
      <c r="C66" s="254" t="s">
        <v>383</v>
      </c>
      <c r="D66" s="244" t="s">
        <v>389</v>
      </c>
      <c r="E66" s="433" t="s">
        <v>118</v>
      </c>
      <c r="F66" s="434"/>
      <c r="G66" s="435"/>
      <c r="H66" s="436"/>
      <c r="I66" s="437"/>
      <c r="J66" s="438">
        <f ca="1">TODAY()</f>
        <v>45076</v>
      </c>
      <c r="K66" s="439"/>
    </row>
    <row r="67" spans="1:11" s="14" customFormat="1" ht="15" customHeight="1" x14ac:dyDescent="0.25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</row>
    <row r="68" spans="1:11" s="14" customFormat="1" ht="15" customHeight="1" x14ac:dyDescent="0.25">
      <c r="A68" s="207" t="s">
        <v>390</v>
      </c>
      <c r="B68" s="208"/>
      <c r="C68" s="208"/>
      <c r="D68" s="208"/>
      <c r="E68" s="208"/>
      <c r="F68" s="208"/>
      <c r="G68" s="208"/>
      <c r="H68" s="208"/>
      <c r="I68" s="208"/>
      <c r="J68" s="208"/>
      <c r="K68" s="208"/>
    </row>
  </sheetData>
  <mergeCells count="231">
    <mergeCell ref="A57:D57"/>
    <mergeCell ref="J52:K52"/>
    <mergeCell ref="A53:D53"/>
    <mergeCell ref="F53:G53"/>
    <mergeCell ref="H53:I53"/>
    <mergeCell ref="J53:K53"/>
    <mergeCell ref="A30:D30"/>
    <mergeCell ref="F30:G30"/>
    <mergeCell ref="H30:I30"/>
    <mergeCell ref="J30:K30"/>
    <mergeCell ref="F57:G57"/>
    <mergeCell ref="H57:I57"/>
    <mergeCell ref="J48:K48"/>
    <mergeCell ref="J50:K50"/>
    <mergeCell ref="H51:I51"/>
    <mergeCell ref="F56:G56"/>
    <mergeCell ref="H56:I56"/>
    <mergeCell ref="J56:K56"/>
    <mergeCell ref="H54:I54"/>
    <mergeCell ref="F52:G52"/>
    <mergeCell ref="F48:G48"/>
    <mergeCell ref="H48:I48"/>
    <mergeCell ref="J54:K54"/>
    <mergeCell ref="A41:D41"/>
    <mergeCell ref="A54:B54"/>
    <mergeCell ref="J45:K45"/>
    <mergeCell ref="J49:K49"/>
    <mergeCell ref="J51:K51"/>
    <mergeCell ref="F41:G41"/>
    <mergeCell ref="J41:K41"/>
    <mergeCell ref="H41:I41"/>
    <mergeCell ref="F43:G43"/>
    <mergeCell ref="J43:K43"/>
    <mergeCell ref="H43:I43"/>
    <mergeCell ref="F42:G42"/>
    <mergeCell ref="H42:I42"/>
    <mergeCell ref="J42:K42"/>
    <mergeCell ref="F50:G50"/>
    <mergeCell ref="H52:I52"/>
    <mergeCell ref="A44:B44"/>
    <mergeCell ref="J46:K46"/>
    <mergeCell ref="J47:K47"/>
    <mergeCell ref="F44:G44"/>
    <mergeCell ref="J44:K44"/>
    <mergeCell ref="H44:I44"/>
    <mergeCell ref="A45:D45"/>
    <mergeCell ref="A52:D52"/>
    <mergeCell ref="A38:D38"/>
    <mergeCell ref="F38:G38"/>
    <mergeCell ref="H38:I38"/>
    <mergeCell ref="J38:K38"/>
    <mergeCell ref="A39:D39"/>
    <mergeCell ref="F39:G39"/>
    <mergeCell ref="H39:I39"/>
    <mergeCell ref="J39:K39"/>
    <mergeCell ref="A40:D40"/>
    <mergeCell ref="F40:G40"/>
    <mergeCell ref="H40:I40"/>
    <mergeCell ref="J40:K40"/>
    <mergeCell ref="A35:D35"/>
    <mergeCell ref="F35:G35"/>
    <mergeCell ref="H35:I35"/>
    <mergeCell ref="J35:K35"/>
    <mergeCell ref="A36:D36"/>
    <mergeCell ref="F36:G36"/>
    <mergeCell ref="H36:I36"/>
    <mergeCell ref="J36:K36"/>
    <mergeCell ref="A37:D37"/>
    <mergeCell ref="F37:G37"/>
    <mergeCell ref="H37:I37"/>
    <mergeCell ref="J37:K37"/>
    <mergeCell ref="F32:G32"/>
    <mergeCell ref="H32:I32"/>
    <mergeCell ref="J32:K32"/>
    <mergeCell ref="A33:D33"/>
    <mergeCell ref="F33:G33"/>
    <mergeCell ref="H33:I33"/>
    <mergeCell ref="J33:K33"/>
    <mergeCell ref="C32:D32"/>
    <mergeCell ref="A34:D34"/>
    <mergeCell ref="F34:G34"/>
    <mergeCell ref="H34:I34"/>
    <mergeCell ref="J34:K34"/>
    <mergeCell ref="A32:B32"/>
    <mergeCell ref="A27:D27"/>
    <mergeCell ref="F27:G27"/>
    <mergeCell ref="H27:I27"/>
    <mergeCell ref="J27:K27"/>
    <mergeCell ref="F31:G31"/>
    <mergeCell ref="H31:I31"/>
    <mergeCell ref="J31:K31"/>
    <mergeCell ref="A31:B31"/>
    <mergeCell ref="C31:D31"/>
    <mergeCell ref="A28:D28"/>
    <mergeCell ref="F28:G28"/>
    <mergeCell ref="H28:I28"/>
    <mergeCell ref="F29:G29"/>
    <mergeCell ref="H29:I29"/>
    <mergeCell ref="J28:K28"/>
    <mergeCell ref="J29:K29"/>
    <mergeCell ref="A29:D29"/>
    <mergeCell ref="A21:D21"/>
    <mergeCell ref="F21:G21"/>
    <mergeCell ref="H21:I21"/>
    <mergeCell ref="J21:K21"/>
    <mergeCell ref="A26:D26"/>
    <mergeCell ref="F26:G26"/>
    <mergeCell ref="H26:I26"/>
    <mergeCell ref="J26:K26"/>
    <mergeCell ref="A22:D22"/>
    <mergeCell ref="A23:D23"/>
    <mergeCell ref="A24:D24"/>
    <mergeCell ref="A25:D25"/>
    <mergeCell ref="F22:G22"/>
    <mergeCell ref="F23:G23"/>
    <mergeCell ref="F24:G24"/>
    <mergeCell ref="F25:G25"/>
    <mergeCell ref="H22:I22"/>
    <mergeCell ref="H23:I23"/>
    <mergeCell ref="H24:I24"/>
    <mergeCell ref="H25:I25"/>
    <mergeCell ref="J22:K22"/>
    <mergeCell ref="J23:K23"/>
    <mergeCell ref="J24:K24"/>
    <mergeCell ref="J25:K25"/>
    <mergeCell ref="H18:I18"/>
    <mergeCell ref="J18:K18"/>
    <mergeCell ref="A17:C17"/>
    <mergeCell ref="A19:D19"/>
    <mergeCell ref="F19:G19"/>
    <mergeCell ref="H19:I19"/>
    <mergeCell ref="J19:K19"/>
    <mergeCell ref="A20:D20"/>
    <mergeCell ref="F20:G20"/>
    <mergeCell ref="H20:I20"/>
    <mergeCell ref="J20:K20"/>
    <mergeCell ref="F17:G17"/>
    <mergeCell ref="H17:I17"/>
    <mergeCell ref="J17:K17"/>
    <mergeCell ref="A18:D18"/>
    <mergeCell ref="F18:G18"/>
    <mergeCell ref="J11:K11"/>
    <mergeCell ref="A12:D12"/>
    <mergeCell ref="F12:G12"/>
    <mergeCell ref="H12:I12"/>
    <mergeCell ref="J12:K12"/>
    <mergeCell ref="A13:D13"/>
    <mergeCell ref="F13:G13"/>
    <mergeCell ref="H13:I13"/>
    <mergeCell ref="J13:K13"/>
    <mergeCell ref="J14:K14"/>
    <mergeCell ref="A15:D15"/>
    <mergeCell ref="F15:G15"/>
    <mergeCell ref="H15:I15"/>
    <mergeCell ref="J15:K15"/>
    <mergeCell ref="A16:D16"/>
    <mergeCell ref="F16:G16"/>
    <mergeCell ref="H16:I16"/>
    <mergeCell ref="J16:K16"/>
    <mergeCell ref="A65:B65"/>
    <mergeCell ref="E65:F65"/>
    <mergeCell ref="A8:B8"/>
    <mergeCell ref="A60:C60"/>
    <mergeCell ref="D60:K62"/>
    <mergeCell ref="A61:B62"/>
    <mergeCell ref="C9:D9"/>
    <mergeCell ref="C8:K8"/>
    <mergeCell ref="A3:K3"/>
    <mergeCell ref="A5:K5"/>
    <mergeCell ref="A7:B7"/>
    <mergeCell ref="A9:B9"/>
    <mergeCell ref="C7:K7"/>
    <mergeCell ref="J9:K9"/>
    <mergeCell ref="F9:H9"/>
    <mergeCell ref="C61:C62"/>
    <mergeCell ref="A48:D48"/>
    <mergeCell ref="A50:D50"/>
    <mergeCell ref="A11:D11"/>
    <mergeCell ref="F11:G11"/>
    <mergeCell ref="H11:I11"/>
    <mergeCell ref="A14:D14"/>
    <mergeCell ref="F14:G14"/>
    <mergeCell ref="H14:I14"/>
    <mergeCell ref="A66:B66"/>
    <mergeCell ref="E66:F66"/>
    <mergeCell ref="G66:I66"/>
    <mergeCell ref="J66:K66"/>
    <mergeCell ref="F55:G55"/>
    <mergeCell ref="H55:I55"/>
    <mergeCell ref="J55:K55"/>
    <mergeCell ref="E63:F63"/>
    <mergeCell ref="G63:I63"/>
    <mergeCell ref="J63:K63"/>
    <mergeCell ref="A64:B64"/>
    <mergeCell ref="E64:F64"/>
    <mergeCell ref="G64:I64"/>
    <mergeCell ref="J64:K64"/>
    <mergeCell ref="J57:K57"/>
    <mergeCell ref="A63:B63"/>
    <mergeCell ref="A59:K59"/>
    <mergeCell ref="A58:D58"/>
    <mergeCell ref="F58:G58"/>
    <mergeCell ref="H58:I58"/>
    <mergeCell ref="J58:K58"/>
    <mergeCell ref="C56:D56"/>
    <mergeCell ref="G65:I65"/>
    <mergeCell ref="J65:K65"/>
    <mergeCell ref="A55:B55"/>
    <mergeCell ref="A56:B56"/>
    <mergeCell ref="C42:D42"/>
    <mergeCell ref="C43:D43"/>
    <mergeCell ref="C44:D44"/>
    <mergeCell ref="H46:I46"/>
    <mergeCell ref="H47:I47"/>
    <mergeCell ref="F45:G45"/>
    <mergeCell ref="H45:I45"/>
    <mergeCell ref="F54:G54"/>
    <mergeCell ref="A46:D46"/>
    <mergeCell ref="A47:D47"/>
    <mergeCell ref="F46:G46"/>
    <mergeCell ref="F47:G47"/>
    <mergeCell ref="C55:D55"/>
    <mergeCell ref="A49:D49"/>
    <mergeCell ref="F49:G49"/>
    <mergeCell ref="H49:I49"/>
    <mergeCell ref="A51:D51"/>
    <mergeCell ref="F51:G51"/>
    <mergeCell ref="H50:I50"/>
    <mergeCell ref="A42:B42"/>
    <mergeCell ref="A43:B43"/>
    <mergeCell ref="C54:D54"/>
  </mergeCells>
  <phoneticPr fontId="0" type="noConversion"/>
  <dataValidations count="5">
    <dataValidation type="list" allowBlank="1" sqref="H49:I49" xr:uid="{00000000-0002-0000-0400-000000000000}">
      <formula1>$L$48:$L$49</formula1>
    </dataValidation>
    <dataValidation type="list" allowBlank="1" showInputMessage="1" showErrorMessage="1" sqref="F50:I50" xr:uid="{00000000-0002-0000-0400-000001000000}">
      <formula1>$M$50:$M$51</formula1>
    </dataValidation>
    <dataValidation type="list" allowBlank="1" showInputMessage="1" showErrorMessage="1" sqref="H51:I51" xr:uid="{00000000-0002-0000-0400-000002000000}">
      <formula1>$O$50:$O$52</formula1>
    </dataValidation>
    <dataValidation type="list" allowBlank="1" showInputMessage="1" showErrorMessage="1" sqref="H48:I48 C61:C62 C64:C66" xr:uid="{00000000-0002-0000-0400-000003000000}">
      <formula1>$L$48:$L$49</formula1>
    </dataValidation>
    <dataValidation type="list" allowBlank="1" showInputMessage="1" showErrorMessage="1" sqref="C63" xr:uid="{00000000-0002-0000-0400-000004000000}">
      <formula1>$L$48:$L$50</formula1>
    </dataValidation>
  </dataValidations>
  <printOptions horizontalCentered="1" verticalCentered="1"/>
  <pageMargins left="0.25" right="0.25" top="0.75" bottom="0.75" header="0.3" footer="0.3"/>
  <pageSetup paperSize="9" scale="70" orientation="portrait" r:id="rId1"/>
  <headerFooter alignWithMargins="0">
    <oddFooter>&amp;R&amp;D &amp;T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S89"/>
  <sheetViews>
    <sheetView workbookViewId="0">
      <selection activeCell="I22" sqref="I22"/>
    </sheetView>
  </sheetViews>
  <sheetFormatPr defaultRowHeight="12.75" x14ac:dyDescent="0.2"/>
  <cols>
    <col min="1" max="1" width="12.5703125" customWidth="1"/>
    <col min="2" max="2" width="14.7109375" customWidth="1"/>
    <col min="3" max="3" width="18.5703125" customWidth="1"/>
    <col min="4" max="4" width="14.5703125" customWidth="1"/>
    <col min="5" max="5" width="14.140625" customWidth="1"/>
    <col min="6" max="6" width="25.42578125" customWidth="1"/>
    <col min="7" max="7" width="26" customWidth="1"/>
    <col min="8" max="8" width="10.5703125" customWidth="1"/>
    <col min="9" max="10" width="11.28515625" customWidth="1"/>
    <col min="12" max="12" width="13.28515625" customWidth="1"/>
    <col min="13" max="13" width="13.140625" customWidth="1"/>
  </cols>
  <sheetData>
    <row r="1" spans="1:16" x14ac:dyDescent="0.2">
      <c r="A1" s="544" t="s">
        <v>752</v>
      </c>
      <c r="B1" s="544"/>
      <c r="C1" s="544"/>
      <c r="D1" s="544"/>
      <c r="E1" s="544"/>
      <c r="F1" s="544"/>
      <c r="G1" s="544"/>
    </row>
    <row r="2" spans="1:16" ht="23.25" customHeight="1" x14ac:dyDescent="0.25">
      <c r="A2" s="552" t="s">
        <v>373</v>
      </c>
      <c r="B2" s="552"/>
      <c r="C2" s="552"/>
      <c r="D2" s="552"/>
      <c r="E2" s="552"/>
      <c r="F2" s="552"/>
      <c r="G2" s="552"/>
    </row>
    <row r="3" spans="1:16" ht="13.5" thickBot="1" x14ac:dyDescent="0.25">
      <c r="A3" s="544"/>
      <c r="B3" s="544"/>
      <c r="C3" s="544"/>
      <c r="D3" s="544"/>
      <c r="E3" s="544"/>
      <c r="F3" s="544"/>
      <c r="G3" s="544"/>
      <c r="H3" s="15"/>
    </row>
    <row r="4" spans="1:16" ht="13.5" customHeight="1" x14ac:dyDescent="0.2">
      <c r="A4" s="563" t="s">
        <v>324</v>
      </c>
      <c r="B4" s="564"/>
      <c r="C4" s="222" t="str">
        <f ca="1">"B (T) : "&amp;LEFT(P!C27,FIND("T",P!C27,1)-1)</f>
        <v xml:space="preserve">B (T) : 1.450 </v>
      </c>
      <c r="D4" s="558" t="str">
        <f ca="1">"L (mm) : "&amp;IF(LEFT(P!B37,3)="Adj",Q!K186,Q!B186)</f>
        <v>L (mm) : 73</v>
      </c>
      <c r="E4" s="559"/>
      <c r="F4" s="560"/>
      <c r="G4" s="223" t="s">
        <v>325</v>
      </c>
      <c r="H4" s="15"/>
      <c r="I4" s="2" t="s">
        <v>407</v>
      </c>
      <c r="J4" t="e">
        <f>ROUND(VALUE(TRIM(MID(#REF!,1,DDOS!K4-1))),1)</f>
        <v>#REF!</v>
      </c>
      <c r="K4" t="e">
        <f>FIND("m",#REF!,1)</f>
        <v>#REF!</v>
      </c>
    </row>
    <row r="5" spans="1:16" ht="14.25" customHeight="1" x14ac:dyDescent="0.2">
      <c r="A5" s="224" t="str">
        <f ca="1">"V/T : "&amp;LEFT(P!C28,FIND(",",P!C28,1)-1)</f>
        <v>V/T : 6.415</v>
      </c>
      <c r="B5" s="194" t="str">
        <f ca="1">"GRADE : "&amp;LEFT(P!C26,FIND("/",P!C26,1)-1)</f>
        <v xml:space="preserve">GRADE : 23ZDKH </v>
      </c>
      <c r="C5" s="194" t="str">
        <f ca="1">"C - C (mm) : "&amp;Q!B142</f>
        <v>C - C (mm) : 294</v>
      </c>
      <c r="D5" s="545" t="str">
        <f>"W1 / W2 / W3 / W4 (mm) : 29.5 / 20 / 17.5 / 11 (HV) / 4 (LV)"</f>
        <v>W1 / W2 / W3 / W4 (mm) : 29.5 / 20 / 17.5 / 11 (HV) / 4 (LV)</v>
      </c>
      <c r="E5" s="545"/>
      <c r="F5" s="545"/>
      <c r="G5" s="225"/>
      <c r="H5" s="15"/>
      <c r="I5" s="2" t="s">
        <v>408</v>
      </c>
      <c r="J5" t="e">
        <f>ROUND(VALUE(TRIM(MID(#REF!,1,DDOS!K5-1)))+100*#REF!,1)</f>
        <v>#REF!</v>
      </c>
      <c r="K5" t="e">
        <f>FIND("m",#REF!,1)</f>
        <v>#REF!</v>
      </c>
      <c r="L5" s="2"/>
    </row>
    <row r="6" spans="1:16" ht="14.25" customHeight="1" x14ac:dyDescent="0.2">
      <c r="A6" s="553" t="str">
        <f ca="1">"AREA : "&amp;RIGHT(P!E28,LEN(P!E28)-FIND("/",P!E28,1))</f>
        <v>AREA :  199.3 cm2</v>
      </c>
      <c r="B6" s="554"/>
      <c r="C6" s="194" t="str">
        <f ca="1">"W - H (mm) : "&amp;Q!B141</f>
        <v>W - H (mm) : 232</v>
      </c>
      <c r="D6" s="194" t="str">
        <f ca="1">"A (mm) : "&amp;Q!B186+Q!B187+Q!B188+Q!B189+Q!B190</f>
        <v>A (mm) : 184</v>
      </c>
      <c r="E6" s="545" t="str">
        <f ca="1">"H (mm) : "&amp;Q!A186</f>
        <v>H (mm) : 130</v>
      </c>
      <c r="F6" s="545"/>
      <c r="G6" s="225" t="str">
        <f ca="1">Q!J186</f>
        <v xml:space="preserve">   156.8 </v>
      </c>
      <c r="H6" s="15"/>
      <c r="J6" s="2"/>
    </row>
    <row r="7" spans="1:16" ht="14.25" customHeight="1" x14ac:dyDescent="0.2">
      <c r="A7" s="555"/>
      <c r="B7" s="556"/>
      <c r="C7" s="556"/>
      <c r="D7" s="557"/>
      <c r="E7" s="545" t="str">
        <f ca="1">"T1 / T2 / T3 / T4 (mm) : "&amp;Q!A187&amp;" / "&amp;Q!A188&amp;" / "&amp;Q!A189&amp;" / "&amp;Q!A190</f>
        <v>T1 / T2 / T3 / T4 (mm) : 120 / 100 / 70 / 0</v>
      </c>
      <c r="F7" s="545"/>
      <c r="G7" s="225" t="str">
        <f ca="1">VALUE(Q!J187)&amp;" / "&amp;VALUE(Q!J188)&amp;" / "&amp;VALUE(Q!J189)&amp;" / "&amp;VALUE(Q!J190)</f>
        <v>99.2 / 52.5 / 29.6 / 0</v>
      </c>
      <c r="H7" s="15"/>
    </row>
    <row r="8" spans="1:16" x14ac:dyDescent="0.2">
      <c r="A8" s="547"/>
      <c r="B8" s="548"/>
      <c r="C8" s="548"/>
      <c r="D8" s="548"/>
      <c r="E8" s="548"/>
      <c r="F8" s="548"/>
      <c r="G8" s="549"/>
      <c r="H8" s="15"/>
    </row>
    <row r="9" spans="1:16" x14ac:dyDescent="0.2">
      <c r="A9" s="550" t="s">
        <v>326</v>
      </c>
      <c r="B9" s="551"/>
      <c r="C9" s="561" t="s">
        <v>59</v>
      </c>
      <c r="D9" s="561"/>
      <c r="E9" s="561"/>
      <c r="F9" s="561" t="s">
        <v>100</v>
      </c>
      <c r="G9" s="562"/>
      <c r="H9" s="15"/>
      <c r="I9" s="2"/>
    </row>
    <row r="10" spans="1:16" x14ac:dyDescent="0.2">
      <c r="A10" s="565" t="s">
        <v>327</v>
      </c>
      <c r="B10" s="545"/>
      <c r="C10" s="539" t="str">
        <f ca="1">Q!B48&amp;" / "&amp;ROUND(IF(Q!B76="yn",VALUE(Q!B48)/SQRT(3),VALUE(Q!B48)),3)</f>
        <v>400 / 230.94</v>
      </c>
      <c r="D10" s="539"/>
      <c r="E10" s="539"/>
      <c r="F10" s="539" t="str">
        <f ca="1">Q!B47&amp;" / "&amp;ROUND(IF(Q!B77="YN",VALUE(Q!B47)/SQRT(3),VALUE(Q!B47)),3)</f>
        <v>33000 / 33000</v>
      </c>
      <c r="G10" s="540"/>
      <c r="H10" s="15"/>
    </row>
    <row r="11" spans="1:16" x14ac:dyDescent="0.2">
      <c r="A11" s="565" t="s">
        <v>328</v>
      </c>
      <c r="B11" s="545"/>
      <c r="C11" s="539" t="str">
        <f ca="1">Q!B50&amp;" / "&amp;ROUND(Q!B49,3)</f>
        <v>144.338 / 144.338</v>
      </c>
      <c r="D11" s="539"/>
      <c r="E11" s="539"/>
      <c r="F11" s="539" t="str">
        <f ca="1">Q!B54&amp;" / "&amp;ROUND(VALUE(RIGHT(Q!E53,Q!C53-Q!D53)),3)</f>
        <v>1.75 / 1.01</v>
      </c>
      <c r="G11" s="540"/>
      <c r="H11" s="15"/>
    </row>
    <row r="12" spans="1:16" x14ac:dyDescent="0.2">
      <c r="A12" s="565" t="s">
        <v>329</v>
      </c>
      <c r="B12" s="545"/>
      <c r="C12" s="546" t="str">
        <f ca="1">IF(H12=0,Q!B76,H12)</f>
        <v>yn</v>
      </c>
      <c r="D12" s="546"/>
      <c r="E12" s="546"/>
      <c r="F12" s="546" t="str">
        <f ca="1">IF(I12=0,Q!B77,I12)</f>
        <v>D</v>
      </c>
      <c r="G12" s="568"/>
      <c r="H12" s="369"/>
      <c r="I12" s="369"/>
    </row>
    <row r="13" spans="1:16" x14ac:dyDescent="0.2">
      <c r="A13" s="565" t="s">
        <v>330</v>
      </c>
      <c r="B13" s="545"/>
      <c r="C13" s="539" t="s">
        <v>393</v>
      </c>
      <c r="D13" s="539"/>
      <c r="E13" s="539"/>
      <c r="F13" s="539" t="s">
        <v>391</v>
      </c>
      <c r="G13" s="540"/>
      <c r="H13" s="15"/>
      <c r="J13" s="2" t="s">
        <v>391</v>
      </c>
      <c r="K13" s="2" t="s">
        <v>398</v>
      </c>
    </row>
    <row r="14" spans="1:16" x14ac:dyDescent="0.2">
      <c r="A14" s="565" t="s">
        <v>331</v>
      </c>
      <c r="B14" s="545"/>
      <c r="C14" s="539">
        <f ca="1">ROUND(IF(P!C41=Q!B200,DDOS!C15:E15,P!C42),0)</f>
        <v>36</v>
      </c>
      <c r="D14" s="539"/>
      <c r="E14" s="539"/>
      <c r="F14" s="539" t="str">
        <f ca="1">LEFT(P!C59,FIND("/",P!C59,1)-1)&amp;" / "&amp;N14</f>
        <v>5401 / 5144</v>
      </c>
      <c r="G14" s="540"/>
      <c r="J14" s="2" t="s">
        <v>392</v>
      </c>
      <c r="K14" s="2" t="s">
        <v>398</v>
      </c>
      <c r="M14" s="2" t="s">
        <v>407</v>
      </c>
      <c r="N14">
        <f ca="1">ROUND(VALUE(TRIM(MID(P!C59,DDOS!O14+1,DDOS!P14-DDOS!O14))),0)</f>
        <v>5144</v>
      </c>
      <c r="O14">
        <f ca="1">FIND("/",P!C59,1)</f>
        <v>5</v>
      </c>
      <c r="P14">
        <f ca="1">LEN(P!C59)</f>
        <v>12</v>
      </c>
    </row>
    <row r="15" spans="1:16" x14ac:dyDescent="0.2">
      <c r="A15" s="565" t="s">
        <v>332</v>
      </c>
      <c r="B15" s="545"/>
      <c r="C15" s="539">
        <f ca="1">ROUND(IF(P!C41=Q!B200,Q!B168,LEFT(P!C49,FIND(":",P!C49,1)-1)),0)</f>
        <v>36</v>
      </c>
      <c r="D15" s="539"/>
      <c r="E15" s="539"/>
      <c r="F15" s="539" t="str">
        <f ca="1">LEFT(P!C65,FIND("#",P!C65,1)-1)</f>
        <v>31</v>
      </c>
      <c r="G15" s="540"/>
      <c r="J15" s="2" t="s">
        <v>394</v>
      </c>
      <c r="K15" s="2" t="s">
        <v>399</v>
      </c>
    </row>
    <row r="16" spans="1:16" x14ac:dyDescent="0.2">
      <c r="A16" s="565" t="s">
        <v>333</v>
      </c>
      <c r="B16" s="545"/>
      <c r="C16" s="539">
        <f ca="1">IF(C14=C15,1,RIGHT(P!C49,LEN(P!C49)-FIND(":",P!C49,1)))</f>
        <v>1</v>
      </c>
      <c r="D16" s="539"/>
      <c r="E16" s="539"/>
      <c r="F16" s="539" t="str">
        <f ca="1">RIGHT(P!C65,LEN(P!C65)-FIND("#",P!C65,1))</f>
        <v xml:space="preserve"> 178.00/ 61.00 *</v>
      </c>
      <c r="G16" s="540"/>
      <c r="J16" s="2" t="s">
        <v>397</v>
      </c>
      <c r="K16" s="2" t="s">
        <v>400</v>
      </c>
    </row>
    <row r="17" spans="1:11" x14ac:dyDescent="0.2">
      <c r="A17" s="565" t="s">
        <v>230</v>
      </c>
      <c r="B17" s="545"/>
      <c r="C17" s="539" t="str">
        <f ca="1">"(2 x 0.15 SL x "&amp;Q!C140&amp;") DDP Between Layers"</f>
        <v>(2 x 0.15 SL x 203) DDP Between Layers</v>
      </c>
      <c r="D17" s="539"/>
      <c r="E17" s="539"/>
      <c r="F17" s="539" t="s">
        <v>976</v>
      </c>
      <c r="G17" s="540"/>
      <c r="J17" s="2" t="s">
        <v>393</v>
      </c>
      <c r="K17" s="2" t="s">
        <v>59</v>
      </c>
    </row>
    <row r="18" spans="1:11" x14ac:dyDescent="0.2">
      <c r="A18" s="565"/>
      <c r="B18" s="545"/>
      <c r="C18" s="539"/>
      <c r="D18" s="539"/>
      <c r="E18" s="539"/>
      <c r="F18" s="539" t="s">
        <v>973</v>
      </c>
      <c r="G18" s="540"/>
    </row>
    <row r="19" spans="1:11" x14ac:dyDescent="0.2">
      <c r="A19" s="565"/>
      <c r="B19" s="545"/>
      <c r="C19" s="539"/>
      <c r="D19" s="539"/>
      <c r="E19" s="539"/>
      <c r="F19" s="539"/>
      <c r="G19" s="540"/>
    </row>
    <row r="20" spans="1:11" x14ac:dyDescent="0.2">
      <c r="A20" s="555"/>
      <c r="B20" s="557"/>
      <c r="C20" s="541"/>
      <c r="D20" s="542"/>
      <c r="E20" s="543"/>
      <c r="F20" s="541"/>
      <c r="G20" s="566"/>
    </row>
    <row r="21" spans="1:11" x14ac:dyDescent="0.2">
      <c r="A21" s="553" t="s">
        <v>559</v>
      </c>
      <c r="B21" s="554"/>
      <c r="C21" s="541" t="str">
        <f ca="1">'Bill of Materials'!C19</f>
        <v xml:space="preserve">8 x 0.25mm </v>
      </c>
      <c r="D21" s="542"/>
      <c r="E21" s="543"/>
      <c r="F21" s="541" t="str">
        <f ca="1">IF('Bill of Materials'!E27&gt;0,'Bill of Materials'!C27,F18)</f>
        <v>0.075 x 45 Strip</v>
      </c>
      <c r="G21" s="566"/>
    </row>
    <row r="22" spans="1:11" x14ac:dyDescent="0.2">
      <c r="A22" s="555"/>
      <c r="B22" s="557"/>
      <c r="C22" s="541"/>
      <c r="D22" s="542"/>
      <c r="E22" s="543"/>
      <c r="F22" s="541"/>
      <c r="G22" s="566"/>
    </row>
    <row r="23" spans="1:11" x14ac:dyDescent="0.2">
      <c r="A23" s="565" t="s">
        <v>334</v>
      </c>
      <c r="B23" s="545"/>
      <c r="C23" s="570" t="s">
        <v>974</v>
      </c>
      <c r="D23" s="539"/>
      <c r="E23" s="539"/>
      <c r="F23" s="539" t="s">
        <v>977</v>
      </c>
      <c r="G23" s="540"/>
    </row>
    <row r="24" spans="1:11" x14ac:dyDescent="0.2">
      <c r="A24" s="565"/>
      <c r="B24" s="545"/>
      <c r="C24" s="539"/>
      <c r="D24" s="539"/>
      <c r="E24" s="539"/>
      <c r="F24" s="539" t="str">
        <f ca="1">IF(OR(ISERROR(VLOOKUP(Q!B457,Q!B462:H470,6,FALSE)),VLOOKUP(Q!B457,Q!B462:H470,6,FALSE)=0),"-",VLOOKUP(Q!B457,Q!B462:H470,6,FALSE))</f>
        <v>-</v>
      </c>
      <c r="G24" s="540"/>
    </row>
    <row r="25" spans="1:11" x14ac:dyDescent="0.2">
      <c r="A25" s="565"/>
      <c r="B25" s="545"/>
      <c r="C25" s="539"/>
      <c r="D25" s="539"/>
      <c r="E25" s="539"/>
      <c r="F25" s="539"/>
      <c r="G25" s="540"/>
    </row>
    <row r="26" spans="1:11" x14ac:dyDescent="0.2">
      <c r="A26" s="555"/>
      <c r="B26" s="557"/>
      <c r="C26" s="541"/>
      <c r="D26" s="542"/>
      <c r="E26" s="543"/>
      <c r="F26" s="541"/>
      <c r="G26" s="566"/>
    </row>
    <row r="27" spans="1:11" ht="12.75" customHeight="1" x14ac:dyDescent="0.2">
      <c r="A27" s="565" t="s">
        <v>335</v>
      </c>
      <c r="B27" s="545"/>
      <c r="C27" s="539" t="str">
        <f ca="1">LEFT(Q!B208,4)&amp;" x "&amp;RIGHT(Q!B208,3)/2&amp;" x 2"</f>
        <v xml:space="preserve"> 185 x 0.12 x 2</v>
      </c>
      <c r="D27" s="539"/>
      <c r="E27" s="539"/>
      <c r="F27" s="539" t="str">
        <f ca="1">Q!B212&amp;IF(Q!G211&gt;1," x "&amp;Q!G211,"")</f>
        <v xml:space="preserve"> 0.700</v>
      </c>
      <c r="G27" s="540"/>
      <c r="I27" t="str">
        <f ca="1">IF(Q!G211&gt;1," x "&amp;Q!G211,"")</f>
        <v/>
      </c>
    </row>
    <row r="28" spans="1:11" ht="12.75" customHeight="1" x14ac:dyDescent="0.2">
      <c r="A28" s="565" t="s">
        <v>336</v>
      </c>
      <c r="B28" s="545"/>
      <c r="C28" s="539" t="str">
        <f ca="1">IF(P!C41=Q!B200,C27,VALUE(LEFT(Q!B208,FIND("x",Q!B208,1)-1))+VALUE(MID(P!E49,FIND("/",P!E49,1)+1,FIND("m",P!E49,1)-FIND("/",P!E49,1)-1))&amp;" x "&amp;VALUE(RIGHT(Q!B208,LEN(Q!B208)-FIND("x",Q!B208,1)))+VALUE(MID(P!E49,FIND("/",P!E49,1)+1,FIND("m",P!E49,1)-FIND("/",P!E49,1)-1)))</f>
        <v xml:space="preserve"> 185 x 0.12 x 2</v>
      </c>
      <c r="D28" s="539"/>
      <c r="E28" s="539"/>
      <c r="F28" s="539" t="str">
        <f ca="1">LEFT(F27,5)+VALUE(MID(P!E62,FIND("/",P!E62,1)+1,FIND("m",P!E62,1)-FIND("/",P!E62,1)-1))&amp;IF(Q!G211&gt;1," x "&amp;Q!G211,"")</f>
        <v>0.775</v>
      </c>
      <c r="G28" s="540"/>
    </row>
    <row r="29" spans="1:11" x14ac:dyDescent="0.2">
      <c r="A29" s="553" t="s">
        <v>337</v>
      </c>
      <c r="B29" s="554"/>
      <c r="C29" s="539">
        <f ca="1">ROUND(VALUE(Q!B49)/VALUE(DDOS!C30:E30),3)</f>
        <v>44.398000000000003</v>
      </c>
      <c r="D29" s="539"/>
      <c r="E29" s="539"/>
      <c r="F29" s="539">
        <f ca="1">ROUND(LEFT(P!H59,FIND("m",P!H59,1)-1),3)</f>
        <v>0.38500000000000001</v>
      </c>
      <c r="G29" s="540"/>
    </row>
    <row r="30" spans="1:11" x14ac:dyDescent="0.2">
      <c r="A30" s="565" t="s">
        <v>338</v>
      </c>
      <c r="B30" s="545"/>
      <c r="C30" s="539" t="str">
        <f ca="1">LEFT(P!C43,FIND("A",P!C43,1)-1)</f>
        <v xml:space="preserve">3.251 </v>
      </c>
      <c r="D30" s="539"/>
      <c r="E30" s="539"/>
      <c r="F30" s="539" t="str">
        <f ca="1">LEFT(P!C64,FIND("A",P!C64,1)-1)</f>
        <v xml:space="preserve">2.625 </v>
      </c>
      <c r="G30" s="540"/>
    </row>
    <row r="31" spans="1:11" x14ac:dyDescent="0.2">
      <c r="A31" s="565" t="s">
        <v>339</v>
      </c>
      <c r="B31" s="545"/>
      <c r="C31" s="539" t="str">
        <f ca="1">LEFT(P!E48,FIND("m",P!E48,1)-1)</f>
        <v xml:space="preserve">25.000 /  3.000 </v>
      </c>
      <c r="D31" s="539"/>
      <c r="E31" s="539"/>
      <c r="F31" s="539" t="str">
        <f ca="1">IF(ISERROR(Q!M47),0,IF(Q!M47&gt;0,DDOS!H31,IF(Q!M48&gt;0,DDOS!H33,IF(Q!M49&gt;0,DDOS!H34,DDOS!F27))))</f>
        <v>HD Copper - 3 mm dia paper covered</v>
      </c>
      <c r="G31" s="540"/>
      <c r="H31" t="s">
        <v>402</v>
      </c>
    </row>
    <row r="32" spans="1:11" x14ac:dyDescent="0.2">
      <c r="A32" s="565" t="s">
        <v>537</v>
      </c>
      <c r="B32" s="545"/>
      <c r="C32" s="539" t="str">
        <f ca="1">LEFT(P!E49,FIND("m",P!E49,1)-1)</f>
        <v xml:space="preserve">25.000 /  3.000 </v>
      </c>
      <c r="D32" s="539"/>
      <c r="E32" s="539"/>
      <c r="F32" s="539" t="str">
        <f ca="1">IF(Q!N47&gt;0,DDOS!H31,IF(Q!N48&gt;0,DDOS!H33,IF(Q!N49&gt;0,DDOS!H34,DDOS!F27)))</f>
        <v>HD Copper - 3 mm dia paper covered</v>
      </c>
      <c r="G32" s="540"/>
    </row>
    <row r="33" spans="1:17" x14ac:dyDescent="0.2">
      <c r="A33" s="565" t="s">
        <v>340</v>
      </c>
      <c r="B33" s="545"/>
      <c r="C33" s="539" t="str">
        <f ca="1">P!E45</f>
        <v>15.24/ 15.24/ 19.74</v>
      </c>
      <c r="D33" s="539"/>
      <c r="E33" s="539"/>
      <c r="F33" s="539" t="str">
        <f ca="1">P!E60</f>
        <v>39.35/ 39.35/ 39.35</v>
      </c>
      <c r="G33" s="540"/>
      <c r="H33" t="s">
        <v>403</v>
      </c>
    </row>
    <row r="34" spans="1:17" x14ac:dyDescent="0.2">
      <c r="A34" s="565" t="s">
        <v>981</v>
      </c>
      <c r="B34" s="545"/>
      <c r="C34" s="539" t="s">
        <v>975</v>
      </c>
      <c r="D34" s="539"/>
      <c r="E34" s="539"/>
      <c r="F34" s="539" t="s">
        <v>978</v>
      </c>
      <c r="G34" s="540"/>
      <c r="H34" t="s">
        <v>404</v>
      </c>
      <c r="P34">
        <f ca="1">VALUE(LEFT(P!E42,FIND("x",P!E42,1)-1))</f>
        <v>133</v>
      </c>
      <c r="Q34">
        <f ca="1">VALUE(LEFT(P!E58,FIND("x",P!E58,1)-1))</f>
        <v>193.49</v>
      </c>
    </row>
    <row r="35" spans="1:17" ht="12.75" customHeight="1" x14ac:dyDescent="0.2">
      <c r="A35" s="565" t="s">
        <v>341</v>
      </c>
      <c r="B35" s="545"/>
      <c r="C35" s="541" t="str">
        <f ca="1">TRIM(IF(P!C41=Q!B200,LEFT(DDOS!C27:E27,FIND("x",DDOS!C27:E27,1)-1),RIGHT(P!H41,LEN(P!H41)-FIND("x",P!H41,1))))&amp;" / "&amp;TRIM(LEFT(P!E41,FIND("m",P!E41,1)-1))</f>
        <v>185 / 205.000</v>
      </c>
      <c r="D35" s="542"/>
      <c r="E35" s="543"/>
      <c r="F35" s="539" t="str">
        <f ca="1">RIGHT(P!H57,LEN(P!H57)-FIND("/",P!H57,1))&amp;" / "&amp;LEFT(P!E41,FIND("m",P!E41,1)-1)</f>
        <v xml:space="preserve">  138.225 / 205.000 </v>
      </c>
      <c r="G35" s="540"/>
      <c r="P35">
        <f ca="1">VALUE(MID(P!E42,FIND("x",P!E42,1)+1,LEN(P!E42)-FIND("x",P!E42,1)-2))</f>
        <v>205.49</v>
      </c>
      <c r="Q35">
        <f ca="1">VALUE(MID(P!E58,FIND("x",P!E58,1)+1,LEN(P!E58)-FIND("x",P!E58,1)))</f>
        <v>270.48</v>
      </c>
    </row>
    <row r="36" spans="1:17" x14ac:dyDescent="0.2">
      <c r="A36" s="565" t="s">
        <v>342</v>
      </c>
      <c r="B36" s="545"/>
      <c r="C36" s="539">
        <f ca="1">VALUE(C37)/(2*PI())</f>
        <v>96.634265952049191</v>
      </c>
      <c r="D36" s="539"/>
      <c r="E36" s="539"/>
      <c r="F36" s="539">
        <f ca="1">VALUE(F37)/(2*PI())</f>
        <v>139.49930762004627</v>
      </c>
      <c r="G36" s="540"/>
      <c r="P36">
        <f ca="1">VALUE(LEFT(P!E43,FIND("x",P!E43,1)-1))</f>
        <v>163.49</v>
      </c>
      <c r="Q36">
        <f ca="1">VALUE(LEFT(P!E59,FIND("x",P!E59,1)-1))</f>
        <v>272.18200000000002</v>
      </c>
    </row>
    <row r="37" spans="1:17" x14ac:dyDescent="0.2">
      <c r="A37" s="565" t="s">
        <v>343</v>
      </c>
      <c r="B37" s="545"/>
      <c r="C37" s="539" t="str">
        <f ca="1">LEFT(P!C48,FIND("m",P!C48,1)-1)</f>
        <v xml:space="preserve">607.171 </v>
      </c>
      <c r="D37" s="539"/>
      <c r="E37" s="539"/>
      <c r="F37" s="539" t="str">
        <f ca="1">LEFT(P!C62,FIND("m",P!C62,1)-1)</f>
        <v xml:space="preserve">876.5 </v>
      </c>
      <c r="G37" s="540"/>
      <c r="P37">
        <f ca="1">VALUE(MID(P!E43,FIND("x",P!E43,1)+1,LEN(P!E43)-FIND("x",P!E43,1)-2))</f>
        <v>240.48</v>
      </c>
      <c r="Q37">
        <f ca="1">VALUE(MID(P!E59,FIND("x",P!E59,1)+1,LEN(P!E59)-FIND("x",P!E59,1)))</f>
        <v>349.17200000000003</v>
      </c>
    </row>
    <row r="38" spans="1:17" x14ac:dyDescent="0.2">
      <c r="A38" s="565" t="s">
        <v>344</v>
      </c>
      <c r="B38" s="545"/>
      <c r="C38" s="539" t="str">
        <f ca="1">LEFT(P!H48,FIND("k",P!H48,1)-1)</f>
        <v xml:space="preserve">30.87 </v>
      </c>
      <c r="D38" s="539"/>
      <c r="E38" s="539"/>
      <c r="F38" s="539" t="str">
        <f ca="1">LEFT(P!H64,FIND("k",P!H64,1)-1)</f>
        <v xml:space="preserve">57.10 </v>
      </c>
      <c r="G38" s="540"/>
      <c r="P38">
        <f ca="1">IF(P!C41=Q!B200,1+VALUE(MID(P!E48,FIND("/",P!E48,1)+1,FIND("m",P!E48,1)-FIND("/",P!E48,1)-1)),0)</f>
        <v>4</v>
      </c>
    </row>
    <row r="39" spans="1:17" x14ac:dyDescent="0.2">
      <c r="A39" s="565" t="s">
        <v>345</v>
      </c>
      <c r="B39" s="545"/>
      <c r="C39" s="539" t="str">
        <f ca="1">LEFT(P!H51,FIND("@",P!H51,1)-1)&amp;" @ 75 C"</f>
        <v>0.010324  @ 75 C</v>
      </c>
      <c r="D39" s="539"/>
      <c r="E39" s="539"/>
      <c r="F39" s="539" t="str">
        <f ca="1">LEFT(P!H66,FIND("@",P!H66,1)-1)&amp;" @ 75 C"</f>
        <v>245.6654  @ 75 C</v>
      </c>
      <c r="G39" s="540"/>
    </row>
    <row r="40" spans="1:17" x14ac:dyDescent="0.2">
      <c r="A40" s="565" t="s">
        <v>971</v>
      </c>
      <c r="B40" s="545"/>
      <c r="C40" s="539">
        <f ca="1">VALUE(LEFT(P!E114,FIND("W",P!E114,1)-1))+VALUE(LEFT(P!H115,FIND("/",P!H115,1)-1))+VALUE(RIGHT(P!H115,LEN(P!H115)-FIND("/",P!H115,1)-1))</f>
        <v>715</v>
      </c>
      <c r="D40" s="539"/>
      <c r="E40" s="539"/>
      <c r="F40" s="539" t="str">
        <f ca="1">LEFT(P!C114,FIND("W",P!C114,1)-1)</f>
        <v xml:space="preserve">752  </v>
      </c>
      <c r="G40" s="540"/>
    </row>
    <row r="41" spans="1:17" x14ac:dyDescent="0.2">
      <c r="A41" s="569"/>
      <c r="B41" s="539"/>
      <c r="C41" s="539"/>
      <c r="D41" s="539"/>
      <c r="E41" s="539"/>
      <c r="F41" s="539"/>
      <c r="G41" s="540"/>
    </row>
    <row r="42" spans="1:17" x14ac:dyDescent="0.2">
      <c r="A42" s="550" t="s">
        <v>346</v>
      </c>
      <c r="B42" s="551"/>
      <c r="C42" s="595" t="str">
        <f ca="1">IF('Bill of Materials'!L59=0,Q!B330,'Bill of Materials'!L59)&amp;" x "&amp;Q!F330</f>
        <v>EN 250 x 4</v>
      </c>
      <c r="D42" s="595"/>
      <c r="E42" s="595"/>
      <c r="F42" s="595" t="str">
        <f ca="1">IF('Bill of Materials'!L56=0,Q!B311,'Bill of Materials'!L56)&amp;" x "&amp;Q!F311</f>
        <v>30 NF 250 CD = 900 mm x 3</v>
      </c>
      <c r="G42" s="596"/>
    </row>
    <row r="43" spans="1:17" x14ac:dyDescent="0.2">
      <c r="A43" s="597"/>
      <c r="B43" s="598"/>
      <c r="C43" s="598"/>
      <c r="D43" s="598"/>
      <c r="E43" s="598"/>
      <c r="F43" s="598"/>
      <c r="G43" s="599"/>
    </row>
    <row r="44" spans="1:17" ht="12.75" customHeight="1" x14ac:dyDescent="0.2">
      <c r="A44" s="226" t="s">
        <v>347</v>
      </c>
      <c r="B44" s="567" t="str">
        <f ca="1">"CORE / LV : "&amp;P!C72&amp;" mm"</f>
        <v>CORE / LV : 1.50x  1.50x  7.00 mm</v>
      </c>
      <c r="C44" s="567"/>
      <c r="D44" s="213" t="s">
        <v>348</v>
      </c>
      <c r="E44" s="197" t="str">
        <f ca="1">P!C73</f>
        <v>15.000 mm</v>
      </c>
      <c r="F44" s="197" t="str">
        <f ca="1">"HV/HV : "&amp;P!E73</f>
        <v>HV/HV : 21.000 mm</v>
      </c>
      <c r="G44" s="227" t="str">
        <f ca="1">"YOKE/COVER/BASE : "&amp;Q!B144 &amp;" / " &amp;Q!D144 &amp;" mm"</f>
        <v>YOKE/COVER/BASE : 240 / 70 mm</v>
      </c>
    </row>
    <row r="45" spans="1:17" ht="12.75" customHeight="1" x14ac:dyDescent="0.2">
      <c r="A45" s="252" t="s">
        <v>560</v>
      </c>
      <c r="B45" s="567" t="s">
        <v>980</v>
      </c>
      <c r="C45" s="567"/>
      <c r="D45" s="253" t="s">
        <v>561</v>
      </c>
      <c r="E45" s="567" t="s">
        <v>979</v>
      </c>
      <c r="F45" s="567"/>
      <c r="G45" s="575"/>
    </row>
    <row r="46" spans="1:17" x14ac:dyDescent="0.2">
      <c r="A46" s="592"/>
      <c r="B46" s="593"/>
      <c r="C46" s="593"/>
      <c r="D46" s="593"/>
      <c r="E46" s="593"/>
      <c r="F46" s="593"/>
      <c r="G46" s="594"/>
      <c r="J46" s="2" t="s">
        <v>56</v>
      </c>
      <c r="K46" s="2" t="s">
        <v>411</v>
      </c>
      <c r="L46" s="2" t="s">
        <v>412</v>
      </c>
      <c r="M46" s="2" t="s">
        <v>413</v>
      </c>
    </row>
    <row r="47" spans="1:17" x14ac:dyDescent="0.2">
      <c r="A47" s="228" t="s">
        <v>349</v>
      </c>
      <c r="B47" s="196" t="s">
        <v>331</v>
      </c>
      <c r="C47" s="195" t="s">
        <v>350</v>
      </c>
      <c r="D47" s="195" t="s">
        <v>351</v>
      </c>
      <c r="E47" s="198" t="s">
        <v>352</v>
      </c>
      <c r="F47" s="194"/>
      <c r="G47" s="225" t="s">
        <v>353</v>
      </c>
      <c r="J47" t="str">
        <f ca="1">IF(LEFT(P!C59,FIND("/",P!C59,1)-1)=K47,"-",LEFT(P!C59,FIND("/",P!C59,1)-1))</f>
        <v>5401</v>
      </c>
      <c r="K47" t="str">
        <f ca="1">TRIM(RIGHT(P!C59,LEN(P!C59)-FIND("/",P!C59,1)))</f>
        <v>5144</v>
      </c>
      <c r="L47">
        <f ca="1">D70+D71+1</f>
        <v>5</v>
      </c>
      <c r="M47">
        <f ca="1">IF(ISERROR(ROUND((J47-K47)/D70,1)),"",ROUND((J47-K47)/D70,1))</f>
        <v>128.5</v>
      </c>
      <c r="N47">
        <f ca="1">IF(ISERROR(ROUND(J47-(L47-1)*M47,0)),"-",ROUND(J47-(L47-1)*M47,0))</f>
        <v>4887</v>
      </c>
      <c r="O47">
        <f ca="1">_xlfn.FLOOR.MATH(L47/2)+2</f>
        <v>4</v>
      </c>
      <c r="P47">
        <f ca="1">O47+1</f>
        <v>5</v>
      </c>
    </row>
    <row r="48" spans="1:17" x14ac:dyDescent="0.2">
      <c r="A48" s="229">
        <v>1</v>
      </c>
      <c r="B48" s="195">
        <v>0</v>
      </c>
      <c r="C48" s="194" t="s">
        <v>410</v>
      </c>
      <c r="D48" s="195">
        <f ca="1">Q!B46</f>
        <v>100</v>
      </c>
      <c r="E48" s="198">
        <f ca="1">D48</f>
        <v>100</v>
      </c>
      <c r="F48" s="194" t="s">
        <v>776</v>
      </c>
      <c r="G48" s="225" t="str">
        <f ca="1">Q!C209</f>
        <v xml:space="preserve">26.09 </v>
      </c>
    </row>
    <row r="49" spans="1:11" x14ac:dyDescent="0.2">
      <c r="A49" s="229">
        <v>2</v>
      </c>
      <c r="B49" s="195">
        <f ca="1">IF(A49&lt;L$47+2,N47,IF(A49=L$47+2,J47," "))</f>
        <v>4887</v>
      </c>
      <c r="C49" s="194"/>
      <c r="D49" s="195"/>
      <c r="E49" s="198"/>
      <c r="F49" s="194" t="s">
        <v>777</v>
      </c>
      <c r="G49" s="225" t="str">
        <f ca="1">Q!C213</f>
        <v xml:space="preserve">48.97 </v>
      </c>
    </row>
    <row r="50" spans="1:11" x14ac:dyDescent="0.2">
      <c r="A50" s="229">
        <v>3</v>
      </c>
      <c r="B50" s="195">
        <f ca="1">IF(A50&lt;L$47+2,IF(P$47=A50,B49,IF(AND(-1&lt;(B49+M$47-K$47),((B49+M$47-K$47)&lt;1)),K$47,ROUNDUP(B49+M$47,0))),IF(A50=L$47+2,J47," "))</f>
        <v>5016</v>
      </c>
      <c r="C50" s="194" t="s">
        <v>354</v>
      </c>
      <c r="D50" s="195" t="str">
        <f ca="1">Q!B84&amp;" @ 75 C"</f>
        <v>1560 @ 75 C</v>
      </c>
      <c r="E50" s="209">
        <f ca="1">Q!B84</f>
        <v>1560</v>
      </c>
      <c r="F50" s="194" t="s">
        <v>538</v>
      </c>
      <c r="G50" s="225">
        <f ca="1">Q!B217</f>
        <v>2.77</v>
      </c>
    </row>
    <row r="51" spans="1:11" x14ac:dyDescent="0.2">
      <c r="A51" s="229">
        <v>4</v>
      </c>
      <c r="B51" s="195" t="str">
        <f ca="1">IF(A51&lt;L$47+2,IF(P$47=A51,B50,IF(AND(-1&lt;(B50+M$47-K$47),((B50+M$47-K$47)&lt;1)),K$47,ROUNDUP(B50+M$47,0))),IF(A51=L$47+2,J47," "))</f>
        <v>5144</v>
      </c>
      <c r="C51" s="194" t="s">
        <v>356</v>
      </c>
      <c r="D51" s="195">
        <f ca="1">Q!B85</f>
        <v>227</v>
      </c>
      <c r="E51" s="209">
        <f ca="1">Q!B85</f>
        <v>227</v>
      </c>
      <c r="F51" s="194" t="s">
        <v>355</v>
      </c>
      <c r="G51" s="225">
        <f ca="1">G48+G49+G50</f>
        <v>77.83</v>
      </c>
    </row>
    <row r="52" spans="1:11" x14ac:dyDescent="0.2">
      <c r="A52" s="229">
        <v>5</v>
      </c>
      <c r="B52" s="195" t="str">
        <f ca="1">IF(A52&lt;L$47+2,IF(P$47=A52,B51,IF(AND(-1&lt;(B51+M$47-K$47),((B51+M$47-K$47)&lt;1)),K$47,ROUNDUP(B51+M$47,0))),IF(A52=L$47+2,J47," "))</f>
        <v>5144</v>
      </c>
      <c r="C52" s="194"/>
      <c r="D52" s="195"/>
      <c r="E52" s="198"/>
      <c r="F52" s="194" t="s">
        <v>357</v>
      </c>
      <c r="G52" s="225">
        <f ca="1">VALUE(LEFT(P!E31,FIND("k",P!E31,1)-1))</f>
        <v>321.7</v>
      </c>
    </row>
    <row r="53" spans="1:11" x14ac:dyDescent="0.2">
      <c r="A53" s="229">
        <v>6</v>
      </c>
      <c r="B53" s="195">
        <f ca="1">IF(A53&lt;L$47+2,IF(P$47=A53,B52,IF(AND(-1&lt;(B52+M$47-K$47),((B52+M$47-K$47)&lt;1)),K$47,ROUNDUP(B52+M$47,0))),IF(A53=L$47+2,J47," "))</f>
        <v>5273</v>
      </c>
      <c r="C53" s="194" t="s">
        <v>358</v>
      </c>
      <c r="D53" s="195" t="str">
        <f ca="1">Q!D84+D51&amp;" @ 75 C"</f>
        <v>928 @ 75 C</v>
      </c>
      <c r="E53" s="198"/>
      <c r="F53" s="194" t="s">
        <v>545</v>
      </c>
      <c r="G53" s="225">
        <f ca="1">Q!D148</f>
        <v>2.94</v>
      </c>
    </row>
    <row r="54" spans="1:11" x14ac:dyDescent="0.2">
      <c r="A54" s="229">
        <v>7</v>
      </c>
      <c r="B54" s="195" t="str">
        <f ca="1">IF(A54&lt;L$47+2,IF(P$47=A54,B53,IF(AND(-1&lt;(B53+M$47-K$47),((B53+M$47-K$47)&lt;1)),K$47,ROUNDUP(B53+M$47,0))),IF(A54=L$47+2,J47," "))</f>
        <v>5401</v>
      </c>
      <c r="C54" s="194" t="s">
        <v>360</v>
      </c>
      <c r="D54" s="195">
        <f ca="1">ROUND(Q!J85,3)</f>
        <v>4.2149999999999999</v>
      </c>
      <c r="E54" s="198"/>
      <c r="F54" s="194" t="s">
        <v>546</v>
      </c>
      <c r="G54" s="225" t="str">
        <f ca="1">Q!D154</f>
        <v>7.82</v>
      </c>
    </row>
    <row r="55" spans="1:11" x14ac:dyDescent="0.2">
      <c r="A55" s="229">
        <v>8</v>
      </c>
      <c r="B55" s="195" t="str">
        <f ca="1">IF(A55&lt;L$47+2,IF(P$47=A55,B54,IF(AND(-5&lt;(B54+M$47-K$47),((B54+M$47-K$47)&lt;5)),K$47,ROUNDUP(B54+M$47,0))),IF(A55=L$47+2,J47," "))</f>
        <v xml:space="preserve"> </v>
      </c>
      <c r="C55" s="194" t="s">
        <v>361</v>
      </c>
      <c r="D55" s="195">
        <f ca="1">Q!B83</f>
        <v>4.7799999999999994</v>
      </c>
      <c r="E55" s="210">
        <f ca="1">D55</f>
        <v>4.7799999999999994</v>
      </c>
      <c r="F55" s="194" t="s">
        <v>359</v>
      </c>
      <c r="G55" s="225" t="str">
        <f ca="1">LEFT(P!C92,FIND("k",P!C92,1)-1)</f>
        <v xml:space="preserve">414 </v>
      </c>
    </row>
    <row r="56" spans="1:11" ht="14.25" customHeight="1" x14ac:dyDescent="0.2">
      <c r="A56" s="229">
        <v>9</v>
      </c>
      <c r="B56" s="195" t="str">
        <f ca="1">IF(A56&lt;L$47+2,IF(P$47=A56,B55,IF(AND(-5&lt;(B55+M$47-K$47),((B55+M$47-K$47)&lt;5)),K$47,ROUNDUP(B55+M$47,0))),IF(A56=L$47+2,J47," "))</f>
        <v xml:space="preserve"> </v>
      </c>
      <c r="C56" s="194" t="s">
        <v>363</v>
      </c>
      <c r="D56" s="241">
        <f ca="1">Techspecs!H35</f>
        <v>0.82</v>
      </c>
      <c r="E56" s="198"/>
      <c r="F56" s="194" t="s">
        <v>362</v>
      </c>
      <c r="G56" s="225" t="str">
        <f ca="1">LEFT(P!C94,FIND("k",P!C94,1)-1)</f>
        <v xml:space="preserve">295 </v>
      </c>
    </row>
    <row r="57" spans="1:11" ht="13.5" customHeight="1" x14ac:dyDescent="0.2">
      <c r="A57" s="229">
        <v>10</v>
      </c>
      <c r="B57" s="195" t="str">
        <f ca="1">IF(A57&lt;L$47+2,IF(P$47=A57,B56,IF(AND(-5&lt;(B56+M$47-K$47),((B56+M$47-K$47)&lt;5)),K$47,ROUNDUP(B56+M$47,0))),IF(A57=L$47+2,J47," "))</f>
        <v xml:space="preserve"> </v>
      </c>
      <c r="C57" s="194" t="s">
        <v>364</v>
      </c>
      <c r="D57" s="195">
        <f ca="1">IF(LEFT(P!F117,3)&lt;&gt;"TOP",VALUE(LEFT(P!H116,FIND("d",P!H116,1)-1)),VALUE(LEFT(P!H117,FIND("d",P!H117,1)-1)))</f>
        <v>31.7</v>
      </c>
      <c r="E57" s="195">
        <f ca="1">Techspecs!H32</f>
        <v>55</v>
      </c>
      <c r="F57" s="194" t="s">
        <v>547</v>
      </c>
      <c r="G57" s="225">
        <f ca="1">Q!B236</f>
        <v>79</v>
      </c>
    </row>
    <row r="58" spans="1:11" x14ac:dyDescent="0.2">
      <c r="A58" s="229">
        <v>11</v>
      </c>
      <c r="B58" s="195" t="str">
        <f ca="1">IF(A58&lt;L$47+2,IF(P$47=A58,B57,IF(AND(-5&lt;(B57+M$47-K$47),((B57+M$47-K$47)&lt;5)),K$47,ROUNDUP(B57+M$47,0))),IF(A58=L$47+2,J47," "))</f>
        <v xml:space="preserve"> </v>
      </c>
      <c r="C58" s="194" t="s">
        <v>366</v>
      </c>
      <c r="D58" s="195" t="str">
        <f ca="1">IF(J58&gt;K58,J58,K58)</f>
        <v>47.6</v>
      </c>
      <c r="E58" s="195">
        <f ca="1">Techspecs!H31</f>
        <v>60</v>
      </c>
      <c r="F58" s="211" t="s">
        <v>365</v>
      </c>
      <c r="G58" s="225" t="str">
        <f ca="1">LEFT(P!C97,FIND("k",P!C97,1)-1)</f>
        <v xml:space="preserve">882 </v>
      </c>
      <c r="J58" t="str">
        <f ca="1">LEFT(P!C51,FIND("/",P!C51,1)-1)</f>
        <v>47.6</v>
      </c>
      <c r="K58" t="str">
        <f ca="1">LEFT(P!C66,FIND("/",P!C66,1)-1)</f>
        <v>41.3</v>
      </c>
    </row>
    <row r="59" spans="1:11" ht="12.75" customHeight="1" x14ac:dyDescent="0.2">
      <c r="A59" s="229">
        <v>12</v>
      </c>
      <c r="B59" s="195" t="str">
        <f ca="1">IF(A59&lt;L$47+2,IF(P$47=A59,B58,IF(AND(-5&lt;(B58+M$47-K$47),((B58+M$47-K$47)&lt;5)),K$47,ROUNDUP(B58+M$47,0))),IF(A59=L$47+2,J47," "))</f>
        <v xml:space="preserve"> </v>
      </c>
      <c r="C59" s="194" t="s">
        <v>395</v>
      </c>
      <c r="D59" s="195">
        <f ca="1">ROUND(Q!J85/Q!K85,0)</f>
        <v>6</v>
      </c>
      <c r="E59" s="198"/>
      <c r="F59" s="211" t="s">
        <v>396</v>
      </c>
      <c r="G59" s="225" t="str">
        <f ca="1">ROUND(G56*0.00075*0.8*D57/0.87,0)&amp;" L"</f>
        <v>6 L</v>
      </c>
    </row>
    <row r="60" spans="1:11" x14ac:dyDescent="0.2">
      <c r="A60" s="547"/>
      <c r="B60" s="548"/>
      <c r="C60" s="548"/>
      <c r="D60" s="548"/>
      <c r="E60" s="548"/>
      <c r="F60" s="548"/>
      <c r="G60" s="549"/>
    </row>
    <row r="61" spans="1:11" ht="12.75" customHeight="1" x14ac:dyDescent="0.2">
      <c r="A61" s="230" t="s">
        <v>425</v>
      </c>
      <c r="B61" s="556" t="str">
        <f ca="1">"LENGTH (mm) : "&amp;Q!B94</f>
        <v>LENGTH (mm) : 1035</v>
      </c>
      <c r="C61" s="556"/>
      <c r="D61" s="212"/>
      <c r="E61" s="212" t="s">
        <v>416</v>
      </c>
      <c r="F61" s="214">
        <f ca="1">Q!B95</f>
        <v>481</v>
      </c>
      <c r="G61" s="231" t="str">
        <f ca="1">"HEIGHT (mm) : "&amp;Q!B96</f>
        <v>HEIGHT (mm) : 802</v>
      </c>
    </row>
    <row r="62" spans="1:11" ht="12.75" customHeight="1" x14ac:dyDescent="0.2">
      <c r="A62" s="555"/>
      <c r="B62" s="556"/>
      <c r="C62" s="556"/>
      <c r="D62" s="556"/>
      <c r="E62" s="557"/>
      <c r="F62" s="389" t="str">
        <f ca="1">"CORRUG. L.S DEPTH (mm) :  "&amp;IF(Q!B278="NO",VALUE(Q!B299)," ")</f>
        <v>CORRUG. L.S DEPTH (mm) :  210</v>
      </c>
      <c r="G62" s="390" t="str">
        <f ca="1">"NO.:                          "&amp;IF(Q!B278="NO",VALUE(LEFT(P!H95,FIND("/",P!H95,1)-1))," ")</f>
        <v>NO.:                          12</v>
      </c>
    </row>
    <row r="63" spans="1:11" ht="12.75" customHeight="1" x14ac:dyDescent="0.2">
      <c r="A63" s="553" t="s">
        <v>414</v>
      </c>
      <c r="B63" s="567"/>
      <c r="C63" s="344" t="str">
        <f ca="1">Q!B301</f>
        <v>600</v>
      </c>
      <c r="D63" s="567"/>
      <c r="E63" s="554"/>
      <c r="F63" s="389" t="str">
        <f ca="1">"CORRUG. S.S DEPTH (mm)  :  "&amp;IF(Q!B278="NO",VALUE(Q!B300)," ")</f>
        <v>CORRUG. S.S DEPTH (mm)  :  50</v>
      </c>
      <c r="G63" s="232" t="str">
        <f ca="1">"NO.:                          "&amp;IF(Q!B278="NO",VALUE(MID(P!H95,FIND("/",P!H95,1)+1,FIND("/",P!H95,FIND("/",P!H95,1)+1)-FIND("/",P!H95,1)-1))," ")</f>
        <v>NO.:                          5</v>
      </c>
    </row>
    <row r="64" spans="1:11" ht="12.75" customHeight="1" x14ac:dyDescent="0.2">
      <c r="A64" s="553" t="s">
        <v>781</v>
      </c>
      <c r="B64" s="567"/>
      <c r="C64" s="391" t="str">
        <f ca="1">IF(Q!B280=0,"",Q!B280)</f>
        <v/>
      </c>
      <c r="D64" s="591" t="s">
        <v>782</v>
      </c>
      <c r="E64" s="556"/>
      <c r="F64" s="197" t="str">
        <f ca="1">IF(Q!B278="NO"," ",Q!B282)</f>
        <v xml:space="preserve"> </v>
      </c>
      <c r="G64" s="227"/>
    </row>
    <row r="65" spans="1:8" ht="13.15" customHeight="1" x14ac:dyDescent="0.2">
      <c r="A65" s="553" t="s">
        <v>780</v>
      </c>
      <c r="B65" s="567"/>
      <c r="C65" s="344" t="str">
        <f ca="1">IF(Q!B278="NO"," ",Q!B280)</f>
        <v xml:space="preserve"> </v>
      </c>
      <c r="D65" s="567" t="s">
        <v>415</v>
      </c>
      <c r="E65" s="554"/>
      <c r="F65" s="591"/>
      <c r="G65" s="581"/>
      <c r="H65" t="s">
        <v>422</v>
      </c>
    </row>
    <row r="66" spans="1:8" x14ac:dyDescent="0.2">
      <c r="A66" s="555"/>
      <c r="B66" s="556"/>
      <c r="C66" s="580"/>
      <c r="D66" s="556"/>
      <c r="E66" s="556"/>
      <c r="F66" s="556"/>
      <c r="G66" s="581"/>
      <c r="H66" t="s">
        <v>423</v>
      </c>
    </row>
    <row r="67" spans="1:8" x14ac:dyDescent="0.2">
      <c r="A67" s="550" t="s">
        <v>367</v>
      </c>
      <c r="B67" s="551"/>
      <c r="C67" s="551"/>
      <c r="D67" s="551"/>
      <c r="E67" s="551"/>
      <c r="F67" s="551"/>
      <c r="G67" s="590"/>
    </row>
    <row r="68" spans="1:8" x14ac:dyDescent="0.2">
      <c r="A68" s="224" t="s">
        <v>66</v>
      </c>
      <c r="B68" s="195">
        <f ca="1">D48</f>
        <v>100</v>
      </c>
      <c r="C68" s="194" t="s">
        <v>368</v>
      </c>
      <c r="D68" s="195" t="str">
        <f ca="1">Q!B79</f>
        <v>Dyn11</v>
      </c>
      <c r="E68" s="194" t="s">
        <v>183</v>
      </c>
      <c r="F68" s="195" t="str">
        <f ca="1">MID(P!C18,FIND("O",P!C18,1),4)</f>
        <v>ONAN</v>
      </c>
      <c r="G68" s="232" t="s">
        <v>424</v>
      </c>
    </row>
    <row r="69" spans="1:8" ht="12.75" customHeight="1" x14ac:dyDescent="0.2">
      <c r="A69" s="224" t="s">
        <v>369</v>
      </c>
      <c r="B69" s="195">
        <f ca="1">Q!B61</f>
        <v>3</v>
      </c>
      <c r="C69" s="194" t="s">
        <v>81</v>
      </c>
      <c r="D69" s="195" t="str">
        <f ca="1">Q!B60</f>
        <v>50</v>
      </c>
      <c r="E69" s="574" t="str">
        <f ca="1">"VOLTAGE RATIO : "&amp;ROUND((VALUE(RIGHT(F10,LEN(F10)-FIND("/",F10,1)))/VALUE(RIGHT(C10,LEN(C10)-FIND("/",C10,1)))),3)</f>
        <v>VOLTAGE RATIO : 142.894</v>
      </c>
      <c r="F69" s="554"/>
      <c r="G69" s="232" t="str">
        <f>"TYPE OF UNIT :"&amp;" "&amp;H69</f>
        <v>TYPE OF UNIT : Hermetically sealed</v>
      </c>
      <c r="H69" s="221" t="s">
        <v>384</v>
      </c>
    </row>
    <row r="70" spans="1:8" ht="13.5" customHeight="1" x14ac:dyDescent="0.2">
      <c r="A70" s="582" t="s">
        <v>370</v>
      </c>
      <c r="B70" s="589"/>
      <c r="C70" s="194" t="s">
        <v>371</v>
      </c>
      <c r="D70" s="200">
        <f ca="1">Q!B63</f>
        <v>2</v>
      </c>
      <c r="E70" s="574" t="str">
        <f ca="1">"IN STEPS OF :              "&amp;Q!B65&amp;" %"</f>
        <v>IN STEPS OF :              2.5 %</v>
      </c>
      <c r="F70" s="567"/>
      <c r="G70" s="575"/>
    </row>
    <row r="71" spans="1:8" ht="13.5" customHeight="1" x14ac:dyDescent="0.2">
      <c r="A71" s="555"/>
      <c r="B71" s="557"/>
      <c r="C71" s="194" t="s">
        <v>372</v>
      </c>
      <c r="D71" s="200">
        <f ca="1">Q!C64</f>
        <v>2</v>
      </c>
      <c r="E71" s="574" t="str">
        <f ca="1">"TAP CHANGER TYPE :    "&amp;IF('Bill of Materials'!L62=0,Q!B348,'Bill of Materials'!L62)</f>
        <v>TAP CHANGER TYPE :    HR 7A3.335 (30kV 30A 100mm 5 Pos)</v>
      </c>
      <c r="F71" s="567"/>
      <c r="G71" s="575"/>
    </row>
    <row r="72" spans="1:8" ht="13.5" customHeight="1" x14ac:dyDescent="0.2">
      <c r="A72" s="247"/>
      <c r="B72" s="249"/>
      <c r="C72" s="197"/>
      <c r="D72" s="248"/>
      <c r="E72" s="250"/>
      <c r="F72" s="250"/>
      <c r="G72" s="251"/>
    </row>
    <row r="73" spans="1:8" ht="13.5" customHeight="1" x14ac:dyDescent="0.2">
      <c r="A73" s="582" t="s">
        <v>970</v>
      </c>
      <c r="B73" s="583"/>
      <c r="C73" s="567" t="str">
        <f>""&amp;IF(Techspecs!C61="Y","ISD","")&amp;IF(Techspecs!C63="Y"," / OLI","")&amp;IF(Techspecs!C66="Y"," / WTI","")</f>
        <v xml:space="preserve"> / OLI / WTI</v>
      </c>
      <c r="D73" s="567"/>
      <c r="E73" s="567"/>
      <c r="F73" s="567"/>
      <c r="G73" s="575"/>
    </row>
    <row r="74" spans="1:8" ht="13.5" customHeight="1" x14ac:dyDescent="0.2">
      <c r="A74" s="247"/>
      <c r="B74" s="249"/>
      <c r="C74" s="197"/>
      <c r="D74" s="248"/>
      <c r="E74" s="250"/>
      <c r="F74" s="250"/>
      <c r="G74" s="251"/>
    </row>
    <row r="75" spans="1:8" x14ac:dyDescent="0.2">
      <c r="A75" s="582" t="s">
        <v>401</v>
      </c>
      <c r="B75" s="583"/>
      <c r="C75" s="583"/>
      <c r="D75" s="583"/>
      <c r="E75" s="583"/>
      <c r="F75" s="583"/>
      <c r="G75" s="584"/>
    </row>
    <row r="76" spans="1:8" x14ac:dyDescent="0.2">
      <c r="A76" s="585"/>
      <c r="B76" s="586"/>
      <c r="C76" s="586"/>
      <c r="D76" s="586"/>
      <c r="E76" s="586"/>
      <c r="F76" s="587"/>
      <c r="G76" s="588"/>
    </row>
    <row r="77" spans="1:8" ht="12.75" customHeight="1" x14ac:dyDescent="0.2">
      <c r="A77" s="233" t="s">
        <v>421</v>
      </c>
      <c r="B77" s="576" t="str">
        <f>":    "&amp;Techspecs!C7</f>
        <v xml:space="preserve">:    STI Holdings – Tanzania project </v>
      </c>
      <c r="C77" s="576"/>
      <c r="D77" s="577"/>
      <c r="E77" s="217" t="s">
        <v>417</v>
      </c>
      <c r="F77" s="215" t="s">
        <v>157</v>
      </c>
      <c r="G77" s="234" t="s">
        <v>375</v>
      </c>
    </row>
    <row r="78" spans="1:8" ht="12.75" customHeight="1" x14ac:dyDescent="0.2">
      <c r="A78" s="226" t="s">
        <v>420</v>
      </c>
      <c r="B78" s="578" t="str">
        <f>":    "&amp;Techspecs!F9</f>
        <v>:    500 11 400</v>
      </c>
      <c r="C78" s="578"/>
      <c r="D78" s="579"/>
      <c r="E78" s="217" t="s">
        <v>972</v>
      </c>
      <c r="F78" s="216" t="s">
        <v>157</v>
      </c>
      <c r="G78" s="235" t="s">
        <v>375</v>
      </c>
    </row>
    <row r="79" spans="1:8" ht="12.75" customHeight="1" x14ac:dyDescent="0.2">
      <c r="A79" s="236" t="s">
        <v>419</v>
      </c>
      <c r="B79" s="214" t="str">
        <f>":    "&amp;Techspecs!C9</f>
        <v xml:space="preserve">:    </v>
      </c>
      <c r="C79" s="220"/>
      <c r="D79" s="219"/>
      <c r="E79" s="218" t="s">
        <v>418</v>
      </c>
      <c r="F79" s="237" t="s">
        <v>157</v>
      </c>
      <c r="G79" s="235" t="s">
        <v>375</v>
      </c>
    </row>
    <row r="80" spans="1:8" ht="12.75" customHeight="1" thickBot="1" x14ac:dyDescent="0.25">
      <c r="A80" s="571"/>
      <c r="B80" s="572"/>
      <c r="C80" s="572"/>
      <c r="D80" s="572"/>
      <c r="E80" s="572"/>
      <c r="F80" s="572"/>
      <c r="G80" s="573"/>
    </row>
    <row r="81" spans="1:19" x14ac:dyDescent="0.2">
      <c r="A81" s="15"/>
      <c r="B81" s="15"/>
      <c r="C81" s="15"/>
      <c r="D81" s="15"/>
      <c r="E81" s="15"/>
      <c r="F81" s="15"/>
      <c r="G81" s="15"/>
      <c r="J81" s="2"/>
      <c r="K81" s="2"/>
      <c r="L81" s="2"/>
      <c r="M81" s="2"/>
    </row>
    <row r="82" spans="1:19" x14ac:dyDescent="0.2">
      <c r="A82" s="199" t="s">
        <v>374</v>
      </c>
      <c r="B82" s="199"/>
      <c r="C82" s="199"/>
      <c r="D82" s="199"/>
      <c r="E82" s="199"/>
      <c r="F82" s="199"/>
      <c r="G82" s="199"/>
      <c r="P82" s="7"/>
      <c r="S82" s="7"/>
    </row>
    <row r="83" spans="1:19" x14ac:dyDescent="0.2">
      <c r="P83" s="7"/>
      <c r="S83" s="7"/>
    </row>
    <row r="84" spans="1:19" x14ac:dyDescent="0.2">
      <c r="C84" t="s">
        <v>562</v>
      </c>
      <c r="P84" s="7"/>
      <c r="S84" s="7"/>
    </row>
    <row r="85" spans="1:19" x14ac:dyDescent="0.2">
      <c r="P85" s="7"/>
      <c r="S85" s="7"/>
    </row>
    <row r="86" spans="1:19" x14ac:dyDescent="0.2">
      <c r="P86" s="7"/>
      <c r="S86" s="7"/>
    </row>
    <row r="87" spans="1:19" x14ac:dyDescent="0.2">
      <c r="P87" s="7"/>
      <c r="S87" s="7"/>
    </row>
    <row r="88" spans="1:19" x14ac:dyDescent="0.2">
      <c r="P88" s="7"/>
      <c r="S88" s="7"/>
    </row>
    <row r="89" spans="1:19" x14ac:dyDescent="0.2">
      <c r="P89" s="7"/>
      <c r="S89" s="7"/>
    </row>
  </sheetData>
  <mergeCells count="142">
    <mergeCell ref="A36:B36"/>
    <mergeCell ref="A40:B40"/>
    <mergeCell ref="F65:G65"/>
    <mergeCell ref="A64:B64"/>
    <mergeCell ref="D63:E63"/>
    <mergeCell ref="D65:E65"/>
    <mergeCell ref="C31:E31"/>
    <mergeCell ref="A32:B32"/>
    <mergeCell ref="C32:E32"/>
    <mergeCell ref="A46:G46"/>
    <mergeCell ref="A42:B42"/>
    <mergeCell ref="A60:G60"/>
    <mergeCell ref="B61:C61"/>
    <mergeCell ref="A63:B63"/>
    <mergeCell ref="C42:E42"/>
    <mergeCell ref="B45:C45"/>
    <mergeCell ref="E45:G45"/>
    <mergeCell ref="F42:G42"/>
    <mergeCell ref="A43:G43"/>
    <mergeCell ref="C39:E39"/>
    <mergeCell ref="A37:B37"/>
    <mergeCell ref="C35:E35"/>
    <mergeCell ref="C33:E33"/>
    <mergeCell ref="C34:E34"/>
    <mergeCell ref="F22:G22"/>
    <mergeCell ref="A80:G80"/>
    <mergeCell ref="E70:G70"/>
    <mergeCell ref="B77:D77"/>
    <mergeCell ref="B78:D78"/>
    <mergeCell ref="A66:G66"/>
    <mergeCell ref="A75:G75"/>
    <mergeCell ref="A76:G76"/>
    <mergeCell ref="E69:F69"/>
    <mergeCell ref="A70:B70"/>
    <mergeCell ref="A73:B73"/>
    <mergeCell ref="C73:G73"/>
    <mergeCell ref="A71:B71"/>
    <mergeCell ref="E71:G71"/>
    <mergeCell ref="A67:G67"/>
    <mergeCell ref="A62:E62"/>
    <mergeCell ref="A65:B65"/>
    <mergeCell ref="D64:E64"/>
    <mergeCell ref="A38:B38"/>
    <mergeCell ref="F34:G34"/>
    <mergeCell ref="F35:G35"/>
    <mergeCell ref="C30:E30"/>
    <mergeCell ref="A39:B39"/>
    <mergeCell ref="C37:E37"/>
    <mergeCell ref="A21:B21"/>
    <mergeCell ref="C20:E20"/>
    <mergeCell ref="A28:B28"/>
    <mergeCell ref="A24:B24"/>
    <mergeCell ref="A25:B25"/>
    <mergeCell ref="C28:E28"/>
    <mergeCell ref="C27:E27"/>
    <mergeCell ref="C25:E25"/>
    <mergeCell ref="C23:E23"/>
    <mergeCell ref="C21:E21"/>
    <mergeCell ref="A22:B22"/>
    <mergeCell ref="C22:E22"/>
    <mergeCell ref="F11:G11"/>
    <mergeCell ref="F12:G12"/>
    <mergeCell ref="C17:E17"/>
    <mergeCell ref="A12:B12"/>
    <mergeCell ref="F26:G26"/>
    <mergeCell ref="A41:B41"/>
    <mergeCell ref="F32:G32"/>
    <mergeCell ref="A17:B17"/>
    <mergeCell ref="C24:E24"/>
    <mergeCell ref="F36:G36"/>
    <mergeCell ref="F37:G37"/>
    <mergeCell ref="C18:E18"/>
    <mergeCell ref="C19:E19"/>
    <mergeCell ref="F41:G41"/>
    <mergeCell ref="A26:B26"/>
    <mergeCell ref="A29:B29"/>
    <mergeCell ref="C29:E29"/>
    <mergeCell ref="C41:E41"/>
    <mergeCell ref="F28:G28"/>
    <mergeCell ref="A23:B23"/>
    <mergeCell ref="F23:G23"/>
    <mergeCell ref="F25:G25"/>
    <mergeCell ref="A33:B33"/>
    <mergeCell ref="A31:B31"/>
    <mergeCell ref="A10:B10"/>
    <mergeCell ref="A11:B11"/>
    <mergeCell ref="F20:G20"/>
    <mergeCell ref="A18:B18"/>
    <mergeCell ref="A20:B20"/>
    <mergeCell ref="A19:B19"/>
    <mergeCell ref="F19:G19"/>
    <mergeCell ref="B44:C44"/>
    <mergeCell ref="A35:B35"/>
    <mergeCell ref="A13:B13"/>
    <mergeCell ref="A14:B14"/>
    <mergeCell ref="F17:G17"/>
    <mergeCell ref="F16:G16"/>
    <mergeCell ref="F15:G15"/>
    <mergeCell ref="F18:G18"/>
    <mergeCell ref="A15:B15"/>
    <mergeCell ref="A16:B16"/>
    <mergeCell ref="C38:E38"/>
    <mergeCell ref="A34:B34"/>
    <mergeCell ref="A27:B27"/>
    <mergeCell ref="F24:G24"/>
    <mergeCell ref="A30:B30"/>
    <mergeCell ref="F30:G30"/>
    <mergeCell ref="F21:G21"/>
    <mergeCell ref="A1:G1"/>
    <mergeCell ref="C16:E16"/>
    <mergeCell ref="C15:E15"/>
    <mergeCell ref="C14:E14"/>
    <mergeCell ref="C13:E13"/>
    <mergeCell ref="D5:F5"/>
    <mergeCell ref="C12:E12"/>
    <mergeCell ref="A3:G3"/>
    <mergeCell ref="A8:G8"/>
    <mergeCell ref="A9:B9"/>
    <mergeCell ref="E6:F6"/>
    <mergeCell ref="A2:G2"/>
    <mergeCell ref="A6:B6"/>
    <mergeCell ref="E7:F7"/>
    <mergeCell ref="A7:D7"/>
    <mergeCell ref="D4:F4"/>
    <mergeCell ref="C9:E9"/>
    <mergeCell ref="F9:G9"/>
    <mergeCell ref="F13:G13"/>
    <mergeCell ref="F14:G14"/>
    <mergeCell ref="C10:E10"/>
    <mergeCell ref="A4:B4"/>
    <mergeCell ref="F10:G10"/>
    <mergeCell ref="C11:E11"/>
    <mergeCell ref="F38:G38"/>
    <mergeCell ref="C40:E40"/>
    <mergeCell ref="F39:G39"/>
    <mergeCell ref="F40:G40"/>
    <mergeCell ref="F33:G33"/>
    <mergeCell ref="F31:G31"/>
    <mergeCell ref="F29:G29"/>
    <mergeCell ref="C26:E26"/>
    <mergeCell ref="F27:G27"/>
    <mergeCell ref="C36:E36"/>
  </mergeCells>
  <dataValidations count="2">
    <dataValidation type="list" allowBlank="1" showInputMessage="1" showErrorMessage="1" sqref="C13:G13" xr:uid="{00000000-0002-0000-0500-000000000000}">
      <formula1>$J$13:$J$17</formula1>
    </dataValidation>
    <dataValidation type="list" allowBlank="1" showInputMessage="1" showErrorMessage="1" sqref="F65:G65" xr:uid="{00000000-0002-0000-0500-000002000000}">
      <formula1>$H$65:$H$67</formula1>
    </dataValidation>
  </dataValidations>
  <printOptions horizontalCentered="1"/>
  <pageMargins left="0.25" right="0.25" top="0.75" bottom="0.75" header="0.3" footer="0.3"/>
  <pageSetup paperSize="9" scale="7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V i R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r V i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Y k V A o i k e 4 D g A A A B E A A A A T A B w A R m 9 y b X V s Y X M v U 2 V j d G l v b j E u b S C i G A A o o B Q A A A A A A A A A A A A A A A A A A A A A A A A A A A A r T k 0 u y c z P U w i G 0 I b W A F B L A Q I t A B Q A A g A I A K 1 Y k V A 8 R / / 4 p w A A A P g A A A A S A A A A A A A A A A A A A A A A A A A A A A B D b 2 5 m a W c v U G F j a 2 F n Z S 5 4 b W x Q S w E C L Q A U A A I A C A C t W J F Q D 8 r p q 6 Q A A A D p A A A A E w A A A A A A A A A A A A A A A A D z A A A A W 0 N v b n R l b n R f V H l w Z X N d L n h t b F B L A Q I t A B Q A A g A I A K 1 Y k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3 d t o e w D D r T 6 2 O t r c T d U l O A A A A A A I A A A A A A A N m A A D A A A A A E A A A A E Y 3 k P B a N 7 F V 2 4 z 5 v T i s o x I A A A A A B I A A A K A A A A A Q A A A A R K R N 7 L Q E 9 1 7 + f S i P z Q q I U V A A A A B q o B k Q 5 d Q v 1 y 9 F l n G R C c P b 7 p 1 O q 4 O 4 X z b b B s 5 c I Q / G m 8 q A C T D e C 4 K p 8 C Q K x n u 3 j e m d 9 V w u H U + t G M X C q g 9 1 9 O 1 1 r d a 1 K Z j Z W Q k d E b H 4 l k 8 P D x Q A A A A w M i h w r F g T a o X w i C U M 6 f / P D K H V S A = = < / D a t a M a s h u p > 
</file>

<file path=customXml/itemProps1.xml><?xml version="1.0" encoding="utf-8"?>
<ds:datastoreItem xmlns:ds="http://schemas.openxmlformats.org/officeDocument/2006/customXml" ds:itemID="{3E1035F2-49D5-4109-A558-3080FA6404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R</vt:lpstr>
      <vt:lpstr>P</vt:lpstr>
      <vt:lpstr>Q</vt:lpstr>
      <vt:lpstr>Bill of Materials</vt:lpstr>
      <vt:lpstr>Radiator Choise</vt:lpstr>
      <vt:lpstr>Techspecs</vt:lpstr>
      <vt:lpstr>DDOS</vt:lpstr>
      <vt:lpstr>HV_Bushing</vt:lpstr>
      <vt:lpstr>IO</vt:lpstr>
      <vt:lpstr>LV_Bushings</vt:lpstr>
      <vt:lpstr>'Bill of Materials'!Print_Area</vt:lpstr>
      <vt:lpstr>DDOS!Print_Area</vt:lpstr>
      <vt:lpstr>P!Print_Area</vt:lpstr>
      <vt:lpstr>Techspecs!Print_Area</vt:lpstr>
      <vt:lpstr>P!report</vt:lpstr>
      <vt:lpstr>'R'!REPORTVB</vt:lpstr>
      <vt:lpstr>'R'!REPORTVB_1</vt:lpstr>
      <vt:lpstr>'R'!REPORTVB_2</vt:lpstr>
      <vt:lpstr>Steel_Channel</vt:lpstr>
      <vt:lpstr>Tap_selector</vt:lpstr>
    </vt:vector>
  </TitlesOfParts>
  <Company>ltl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herath</dc:creator>
  <cp:lastModifiedBy>Prashanth</cp:lastModifiedBy>
  <cp:lastPrinted>2022-04-09T10:50:29Z</cp:lastPrinted>
  <dcterms:created xsi:type="dcterms:W3CDTF">2004-02-02T05:43:25Z</dcterms:created>
  <dcterms:modified xsi:type="dcterms:W3CDTF">2023-05-30T08:08:56Z</dcterms:modified>
</cp:coreProperties>
</file>